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tabRatio="909" activeTab="12"/>
  </bookViews>
  <sheets>
    <sheet name="Заполнить" sheetId="1" r:id="rId1"/>
    <sheet name="1. Баланс" sheetId="2" r:id="rId2"/>
    <sheet name="2. Отпуск" sheetId="3" r:id="rId3"/>
    <sheet name="3. Оплата труда" sheetId="4" r:id="rId4"/>
    <sheet name="4. Амортизация" sheetId="5" r:id="rId5"/>
    <sheet name="5. Расчет ОПФ" sheetId="6" r:id="rId6"/>
    <sheet name="6. Калькуляция" sheetId="7" r:id="rId7"/>
    <sheet name="7. Финанс." sheetId="8" r:id="rId8"/>
    <sheet name="8. Кап.влож." sheetId="9" r:id="rId9"/>
    <sheet name="9. Прибыль" sheetId="10" r:id="rId10"/>
    <sheet name="10. Общехоз." sheetId="11" r:id="rId11"/>
    <sheet name="11. Ремонты" sheetId="12" r:id="rId12"/>
    <sheet name="12. Тариф" sheetId="13" r:id="rId13"/>
    <sheet name="П2.1" sheetId="14" r:id="rId14"/>
    <sheet name="П2.2" sheetId="15" r:id="rId15"/>
  </sheets>
  <definedNames>
    <definedName name="_xlnm.Print_Area" localSheetId="1">'1. Баланс'!$A$1:$L$40</definedName>
    <definedName name="_xlnm.Print_Area" localSheetId="10">'10. Общехоз.'!$A$1:$E$45</definedName>
    <definedName name="_xlnm.Print_Area" localSheetId="11">'11. Ремонты'!$A$1:$G$68</definedName>
    <definedName name="_xlnm.Print_Area" localSheetId="12">'12. Тариф'!$A$1:$G$51</definedName>
    <definedName name="_xlnm.Print_Area" localSheetId="2">'2. Отпуск'!$A$1:$R$78</definedName>
    <definedName name="_xlnm.Print_Area" localSheetId="3">'3. Оплата труда'!$A$1:$H$38</definedName>
    <definedName name="_xlnm.Print_Area" localSheetId="4">'4. Амортизация'!$A$1:$E$19</definedName>
    <definedName name="_xlnm.Print_Area" localSheetId="6">'6. Калькуляция'!$A$1:$E$50</definedName>
    <definedName name="_xlnm.Print_Area" localSheetId="7">'7. Финанс.'!$A$1:$E$27</definedName>
    <definedName name="_xlnm.Print_Area" localSheetId="8">'8. Кап.влож.'!$A$1:$G$21</definedName>
    <definedName name="_xlnm.Print_Area" localSheetId="9">'9. Прибыль'!$A$1:$E$47</definedName>
    <definedName name="_xlnm.Print_Area" localSheetId="0">'Заполнить'!$A$1:$D$7</definedName>
    <definedName name="_xlnm.Print_Area" localSheetId="13">'П2.1'!$A$1:$G$36</definedName>
    <definedName name="_xlnm.Print_Area" localSheetId="14">'П2.2'!$A$1:$G$36</definedName>
  </definedNames>
  <calcPr fullCalcOnLoad="1"/>
</workbook>
</file>

<file path=xl/sharedStrings.xml><?xml version="1.0" encoding="utf-8"?>
<sst xmlns="http://schemas.openxmlformats.org/spreadsheetml/2006/main" count="823" uniqueCount="452">
  <si>
    <t>Показатели</t>
  </si>
  <si>
    <t>Ед.изм.</t>
  </si>
  <si>
    <t>Базовый период</t>
  </si>
  <si>
    <t>Период регулирования</t>
  </si>
  <si>
    <t>ВН</t>
  </si>
  <si>
    <t>НН</t>
  </si>
  <si>
    <t>Всего</t>
  </si>
  <si>
    <t>1.</t>
  </si>
  <si>
    <t>…</t>
  </si>
  <si>
    <t>км</t>
  </si>
  <si>
    <t>%</t>
  </si>
  <si>
    <t>2.</t>
  </si>
  <si>
    <t>3.</t>
  </si>
  <si>
    <t>4.</t>
  </si>
  <si>
    <t>4.1.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</si>
  <si>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</si>
  <si>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</si>
  <si>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</si>
  <si>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тыс.кВт. </t>
  </si>
  <si>
    <t>Число часов использо-вания, час</t>
  </si>
  <si>
    <t xml:space="preserve">Доля потребления на разных диапазонах напряжений, % </t>
  </si>
  <si>
    <t xml:space="preserve">Всего </t>
  </si>
  <si>
    <t>Базовые потребители</t>
  </si>
  <si>
    <t>Население</t>
  </si>
  <si>
    <t>3.1.</t>
  </si>
  <si>
    <t>в том числе                     Бюджетные потребители</t>
  </si>
  <si>
    <t>тыс.руб.</t>
  </si>
  <si>
    <t>Наименование показателя</t>
  </si>
  <si>
    <t>5.</t>
  </si>
  <si>
    <t>6.</t>
  </si>
  <si>
    <t>7.</t>
  </si>
  <si>
    <t>Отчисления на социальные нужды</t>
  </si>
  <si>
    <t>8.</t>
  </si>
  <si>
    <t>9.</t>
  </si>
  <si>
    <t>в т.ч.</t>
  </si>
  <si>
    <t>10.</t>
  </si>
  <si>
    <t>Итого расходов</t>
  </si>
  <si>
    <t>11.</t>
  </si>
  <si>
    <t>12.</t>
  </si>
  <si>
    <t>Избыток средств, полученный в предыдущем периоде регулирования</t>
  </si>
  <si>
    <t>13.</t>
  </si>
  <si>
    <t>в том числе:</t>
  </si>
  <si>
    <t xml:space="preserve">Численность ППП </t>
  </si>
  <si>
    <t>чел.</t>
  </si>
  <si>
    <t>2.1.</t>
  </si>
  <si>
    <t>Тарифная ставка рабочего 1 разряда</t>
  </si>
  <si>
    <t>руб.</t>
  </si>
  <si>
    <t>2.2.</t>
  </si>
  <si>
    <t>Дефлятор по заработной плате</t>
  </si>
  <si>
    <t>2.3.</t>
  </si>
  <si>
    <t>Тарифная ставка рабочего 1 разряда с учетом дефлятора</t>
  </si>
  <si>
    <t>2.4.</t>
  </si>
  <si>
    <t>Средняя ступень оплаты</t>
  </si>
  <si>
    <t>2.5.</t>
  </si>
  <si>
    <t>Тарифный коэффициент соответствующий ступени по оплате труда</t>
  </si>
  <si>
    <t>2.6.</t>
  </si>
  <si>
    <t>Среднемесячная тарифная ставка ППП</t>
  </si>
  <si>
    <t>2.7.</t>
  </si>
  <si>
    <t>Выплаты, связанные с режимом работы с условиями труда 1 работника</t>
  </si>
  <si>
    <t>процент выплаты</t>
  </si>
  <si>
    <t>сумма выплат</t>
  </si>
  <si>
    <t>2.8.</t>
  </si>
  <si>
    <t>Текущее премирование</t>
  </si>
  <si>
    <t>2.9.</t>
  </si>
  <si>
    <t>Вознаграждение за выслугу лет</t>
  </si>
  <si>
    <t>2.10.</t>
  </si>
  <si>
    <t>Выплаты по итогам года</t>
  </si>
  <si>
    <t>Выплаты по районному коэффициенту и северные надбавки</t>
  </si>
  <si>
    <t>Расчет средств на оплату труда ППП (включенного в себестоимость)</t>
  </si>
  <si>
    <t>Льготный проезд к месту отдыха</t>
  </si>
  <si>
    <t>По постановлению от 03.11.94 г. №1206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</si>
  <si>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</si>
  <si>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</si>
  <si>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основных производственных фондов</t>
  </si>
  <si>
    <t>Средняя норма амортизации</t>
  </si>
  <si>
    <t>Сумма амортизационных отчислений</t>
  </si>
  <si>
    <t>Амортизация</t>
  </si>
  <si>
    <t>ВЛЭП</t>
  </si>
  <si>
    <t>КЛЭП</t>
  </si>
  <si>
    <t xml:space="preserve">Калькуляция расходов, связанных с передачей электрической энергии </t>
  </si>
  <si>
    <t>Калькуляционные статьи затрат</t>
  </si>
  <si>
    <t>амортизация производственного оборудования</t>
  </si>
  <si>
    <t xml:space="preserve"> - налог на землю</t>
  </si>
  <si>
    <t>Недополученный по независящим  причинам доход</t>
  </si>
  <si>
    <t>Итого производственные расходы</t>
  </si>
  <si>
    <t>Полезный отпуск электроэнергии,  млн.кВт.ч.</t>
  </si>
  <si>
    <t xml:space="preserve">Удельные расходы, руб./тыс.кВт.ч                                    </t>
  </si>
  <si>
    <t xml:space="preserve">Условно-постоянные затраты, в том числе: </t>
  </si>
  <si>
    <t xml:space="preserve">Сумма общехозяйственных расходов </t>
  </si>
  <si>
    <t>14.</t>
  </si>
  <si>
    <t>тыс. руб.</t>
  </si>
  <si>
    <t>Наименование</t>
  </si>
  <si>
    <t>Объем капитальных вложений - всего</t>
  </si>
  <si>
    <t xml:space="preserve">    в том числе:</t>
  </si>
  <si>
    <t xml:space="preserve">  - на непроизводственное развитие</t>
  </si>
  <si>
    <t>Неиспользованных средств на начало года</t>
  </si>
  <si>
    <t>Федерального бюджета</t>
  </si>
  <si>
    <t>Местного бюджета</t>
  </si>
  <si>
    <t xml:space="preserve">Регионального (республиканского, краевого, областного) бюждета </t>
  </si>
  <si>
    <t xml:space="preserve">Прочих </t>
  </si>
  <si>
    <t>Кредитные средства</t>
  </si>
  <si>
    <t>Итого по пп. 2.1. - 2.8.</t>
  </si>
  <si>
    <t xml:space="preserve">   </t>
  </si>
  <si>
    <t>Наименование строек</t>
  </si>
  <si>
    <t>Утверждено на базовый период</t>
  </si>
  <si>
    <t>В течение базового периода</t>
  </si>
  <si>
    <t>Остаток финансиро-вания</t>
  </si>
  <si>
    <t>Освоено фактически</t>
  </si>
  <si>
    <t>Профинан-сировано</t>
  </si>
  <si>
    <t>Расчет балансовой прибыли, принимаемой при</t>
  </si>
  <si>
    <t xml:space="preserve">  - капитальные вложения</t>
  </si>
  <si>
    <t>Прибыль на поощрение</t>
  </si>
  <si>
    <t>Дивиденды по акциям</t>
  </si>
  <si>
    <t>Прибыль на прочие цели</t>
  </si>
  <si>
    <t xml:space="preserve"> - % за пользование кредитом</t>
  </si>
  <si>
    <t xml:space="preserve"> - услуги банка</t>
  </si>
  <si>
    <t xml:space="preserve"> - другие (с расшифровкой)</t>
  </si>
  <si>
    <t>Прибыль, облагаемая налогом</t>
  </si>
  <si>
    <t xml:space="preserve"> - на прибыль</t>
  </si>
  <si>
    <t xml:space="preserve"> - на имущество</t>
  </si>
  <si>
    <t xml:space="preserve"> - плата за выбросы загрязняющих веществ</t>
  </si>
  <si>
    <t>Расходы, отнесенные на передачу электрической энергии (п.11 табл.П.1.18.2.)</t>
  </si>
  <si>
    <t>-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</si>
  <si>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</si>
  <si>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</si>
  <si>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</si>
  <si>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</si>
  <si>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</si>
  <si>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</si>
  <si>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</si>
  <si>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</si>
  <si>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 /100</t>
  </si>
  <si>
    <t>металл</t>
  </si>
  <si>
    <t>ж/бетон</t>
  </si>
  <si>
    <t>дерево</t>
  </si>
  <si>
    <t>110-150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</si>
  <si>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</si>
  <si>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</si>
  <si>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</si>
  <si>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</si>
  <si>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</si>
  <si>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</si>
  <si>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</si>
  <si>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 xml:space="preserve">до 1 кВ </t>
  </si>
  <si>
    <t>НН, всего</t>
  </si>
  <si>
    <t>Примечание:</t>
  </si>
  <si>
    <t xml:space="preserve"> - При расчете условных единиц протяженность ВЛЭП-0,4 кВ от линии до ввода в здании не учитывается.</t>
  </si>
  <si>
    <t xml:space="preserve"> - Условные единицы по ВЛЭП-0,4 кВ учитывают трудозатраты на обслуживание и ремонт:                         </t>
  </si>
  <si>
    <t xml:space="preserve">а) воздушных линий в здание и                                                                                                                                      </t>
  </si>
  <si>
    <t>б) линий с совместной подвеской проводов.</t>
  </si>
  <si>
    <t xml:space="preserve"> - Условные единицы по ВЛЭП 0,4-20 кВ учитывают трудозатраты оперативного персонала распределительных сетей 0,4-20 кВ..</t>
  </si>
  <si>
    <t xml:space="preserve"> - Кабельные вводы учтены в условных единицах КЛЭП напряжением до 1 кВ.</t>
  </si>
  <si>
    <t xml:space="preserve">Потребитель1 </t>
  </si>
  <si>
    <t>Потребитель2</t>
  </si>
  <si>
    <t>Потребитель3</t>
  </si>
  <si>
    <t>№ п/п</t>
  </si>
  <si>
    <t>По уровням напряжения</t>
  </si>
  <si>
    <t>СН I</t>
  </si>
  <si>
    <t>СН II</t>
  </si>
  <si>
    <t>Отпуск мощности, МВт</t>
  </si>
  <si>
    <t>от поставщиков</t>
  </si>
  <si>
    <t>из смежной сети, в том числе:</t>
  </si>
  <si>
    <t>Потери мощности, МВт</t>
  </si>
  <si>
    <t>Потери мощности, %</t>
  </si>
  <si>
    <t>Полезный отпуск мощности, МВт</t>
  </si>
  <si>
    <t>Отпуск электроэнергии, млн.кВтч</t>
  </si>
  <si>
    <t>Потери электроэнергии, млн.кВтч</t>
  </si>
  <si>
    <t>Потери электроэнергии, %</t>
  </si>
  <si>
    <t>Полезный отпуск энергии, млн.кВтч</t>
  </si>
  <si>
    <t>Годовое число часов использования мощности</t>
  </si>
  <si>
    <t>НВВ, тыс. руб.</t>
  </si>
  <si>
    <t>Количество условных единиц</t>
  </si>
  <si>
    <t>Примечание.</t>
  </si>
  <si>
    <t>1. При расчете ∆ НВВ ВН (п.22), ∆ НВВ СНI (п.23), ∆ НВВ СНII (п.24) данные берутся соответственно из столбцов ВН, СНI и СНII. Величина ∆ НВВ ВН распределяется по уровням СНI и СНII пропорционально трансформируемой с уровня ВН на уровни СНI и СНII, соответ</t>
  </si>
  <si>
    <t>2. Число 12 (пп.22÷27) показывает число месяцев в периоде регулирования.</t>
  </si>
  <si>
    <t>3. При расчете ставки по оплате технологического расхода (п.30) применяется среднеотпускной тариф ОАО "Башкирэнерго" на 2007 год 113,93 коп./кВтч (п.28), установленный в соответствии с приказом ФСТ России от 01.08.2006 г. № 166-э/1.</t>
  </si>
  <si>
    <t>4. Величина ∆З (п.29) определяется следующим образом:                                                                                                                                                                    ∆ З СНI = (ВН:28-ВН:30*ВН:18)*(СНI:10-</t>
  </si>
  <si>
    <t>Амортизация НМА</t>
  </si>
  <si>
    <t>Амортизация непроизводственных зданий и сооружений</t>
  </si>
  <si>
    <t>Транспортные услуги (перевоз персонала)</t>
  </si>
  <si>
    <t>Консультационные услуги (аудиторские, юридические)</t>
  </si>
  <si>
    <t>Канцелярские расходы</t>
  </si>
  <si>
    <t>Представительские расходы</t>
  </si>
  <si>
    <t>6.1</t>
  </si>
  <si>
    <t>6.2</t>
  </si>
  <si>
    <t>6.3</t>
  </si>
  <si>
    <t>4.1</t>
  </si>
  <si>
    <t>4.2</t>
  </si>
  <si>
    <t>2.1</t>
  </si>
  <si>
    <t>2.2</t>
  </si>
  <si>
    <t>2.3</t>
  </si>
  <si>
    <t>Ремонт непроизводственных зданий и сооружений</t>
  </si>
  <si>
    <t>Уборка территории (вывоз мусора)</t>
  </si>
  <si>
    <t>Охрана объектов имущества</t>
  </si>
  <si>
    <t>11.1</t>
  </si>
  <si>
    <t>11.2</t>
  </si>
  <si>
    <t>Прочие</t>
  </si>
  <si>
    <t>Энергия, топливо, вода на хоз.нужды</t>
  </si>
  <si>
    <t xml:space="preserve">Прочие затраты </t>
  </si>
  <si>
    <t>Аренда офисных помещений (непроизводственных площадей)</t>
  </si>
  <si>
    <t>Амортизация оборудования общезаводского назначения</t>
  </si>
  <si>
    <t>Командировочные расходы</t>
  </si>
  <si>
    <t>Вспомогательные материалы (хоз.материал, офисный и бытовой инвентарь)</t>
  </si>
  <si>
    <t>8.1</t>
  </si>
  <si>
    <t>8.2</t>
  </si>
  <si>
    <t>14.1</t>
  </si>
  <si>
    <t>14.2</t>
  </si>
  <si>
    <t>15.</t>
  </si>
  <si>
    <t>Перечень материалов</t>
  </si>
  <si>
    <t>Ед. изм.</t>
  </si>
  <si>
    <t>Кол-во</t>
  </si>
  <si>
    <t>Цена за единицу, руб.(без НДС)</t>
  </si>
  <si>
    <t>Стоимость тыс.руб.(без НДС)</t>
  </si>
  <si>
    <t>1. Ремонт воздушных линий ВЛ-6-10кВ</t>
  </si>
  <si>
    <t>1.1</t>
  </si>
  <si>
    <t>Ремонтные работы, выполняемые хоз.способом</t>
  </si>
  <si>
    <t>материалы всего, в т.ч.:</t>
  </si>
  <si>
    <t>1.2</t>
  </si>
  <si>
    <t>2.Ремонт воздушных линий ВЛ-0,4кВ</t>
  </si>
  <si>
    <t>3.Ремонт кабельных линий 6-10кВ</t>
  </si>
  <si>
    <t>3.1</t>
  </si>
  <si>
    <t>3.2</t>
  </si>
  <si>
    <t>4.Ремонт кабельных линий 0,4кВ</t>
  </si>
  <si>
    <t>5.Ремонт трансформаторных подстанций</t>
  </si>
  <si>
    <t>5.1</t>
  </si>
  <si>
    <t>5.2</t>
  </si>
  <si>
    <t>6.Прочие виды ремонтных работ</t>
  </si>
  <si>
    <t>Общая стоимость ремонтных работ</t>
  </si>
  <si>
    <t>стоимость материалов</t>
  </si>
  <si>
    <t>стоимость работ, выполняемых подрядными организациями</t>
  </si>
  <si>
    <t>9.1</t>
  </si>
  <si>
    <t>9.2</t>
  </si>
  <si>
    <t>10.1</t>
  </si>
  <si>
    <t>10.2</t>
  </si>
  <si>
    <t>12.1</t>
  </si>
  <si>
    <t>12.2</t>
  </si>
  <si>
    <t>Итого среднемесячная оплата труда на 1 работника (п.7+п.8+п.9+п.10+п.11+п.12)</t>
  </si>
  <si>
    <t>18.1</t>
  </si>
  <si>
    <t>18.2</t>
  </si>
  <si>
    <t>Итого средства на оплату труда ППП (п.13*п.1*12+п.15.)</t>
  </si>
  <si>
    <t>Среднемесячный доход на 1 работника (п.25/(п.1+п.16)/12)</t>
  </si>
  <si>
    <t>Средства, полученные от реализации ценных бумаг</t>
  </si>
  <si>
    <t xml:space="preserve">  - на производственное и научно-техническое развитие</t>
  </si>
  <si>
    <t xml:space="preserve">Дефицит/избыток финансирования </t>
  </si>
  <si>
    <t>Проверка:</t>
  </si>
  <si>
    <t>(подпись)</t>
  </si>
  <si>
    <t>(расшифровка)</t>
  </si>
  <si>
    <t>Руководитель предприятия</t>
  </si>
  <si>
    <t>Коммунальные услуги (электроэнергия, теплоэнергия)</t>
  </si>
  <si>
    <t>Отчисления на соц. нужды с оплаты труда производственных рабочих</t>
  </si>
  <si>
    <t>проверка  расчёта тарифа на содержание сети</t>
  </si>
  <si>
    <t>проверка  расчёта ставки по оплате технол. расхода</t>
  </si>
  <si>
    <t>Ставка налога на прибыль</t>
  </si>
  <si>
    <t>_________________/____________________/</t>
  </si>
  <si>
    <t>Расходы на эксплуатацию служебного автотранспорта (ГСМ, запчасти и аксессуары, автостоянка)</t>
  </si>
  <si>
    <t>Расходы на охрану труда непроизводственного персонала</t>
  </si>
  <si>
    <t>Мощность на производственные и хозяйственные нужды</t>
  </si>
  <si>
    <t>Электроэнергия на производственные и хозяйственные нужды</t>
  </si>
  <si>
    <t>Электроэнергия на производственные и хозяйственные нужды комбината</t>
  </si>
  <si>
    <t>Рост тарифа к уровню предыдущего года</t>
  </si>
  <si>
    <t>Услуги связи  (телефонная, почтовая, курьерские услуги)</t>
  </si>
  <si>
    <t>Ввод основных производствен ных фондов</t>
  </si>
  <si>
    <t>Налог на имущество</t>
  </si>
  <si>
    <t>Расчет амортизационных отчислений на восстановление основных производственных фондов и налога на имущество</t>
  </si>
  <si>
    <t>Наименование предприятия</t>
  </si>
  <si>
    <t>Прошлый период</t>
  </si>
  <si>
    <t>1. Линии электропередач</t>
  </si>
  <si>
    <t>2. Подстанции</t>
  </si>
  <si>
    <t>Всего (стр. 1+стр.2)</t>
  </si>
  <si>
    <t>7.1</t>
  </si>
  <si>
    <t>Рентабельность</t>
  </si>
  <si>
    <t>Расходы по непроизводственному персоналу (обучение, подбор и др.)</t>
  </si>
  <si>
    <t>Балансовая стоимость основных производственных фондов на начало года</t>
  </si>
  <si>
    <t>Среднегодовая стоимость основных производственных фондов на начало периода регулирования</t>
  </si>
  <si>
    <t>4.3</t>
  </si>
  <si>
    <t>Заработная плата производственных рабочих</t>
  </si>
  <si>
    <t>Материалы для технологических целей</t>
  </si>
  <si>
    <t>- арендная плата</t>
  </si>
  <si>
    <t>7.3</t>
  </si>
  <si>
    <t>- другие затраты</t>
  </si>
  <si>
    <t>Затраты на оплату труда административно-управленческого персонала и ИТР предприятия</t>
  </si>
  <si>
    <t>Затраты на оплату труда общеэксплуатационног персонала  (не  связанных непосредственно с производством продукции: отдела сбыта, кладовщиков,  абонентного отдела и др.)</t>
  </si>
  <si>
    <t>Ремонт общезаводского оборудования</t>
  </si>
  <si>
    <t>2.4</t>
  </si>
  <si>
    <t>Расходы по оргтехнике (картриджи, расходные материалы для оргтехники, тех.обслуживание офисной и орг.техники и т.д.)</t>
  </si>
  <si>
    <t>- налог на пользователей автодорог</t>
  </si>
  <si>
    <t>Балансовая стоимость на начало регулируемого периода</t>
  </si>
  <si>
    <t>Балансовая стоимость на конец регулируемого периода</t>
  </si>
  <si>
    <t>Общехозяйственные расходы *</t>
  </si>
  <si>
    <t xml:space="preserve">* - общехозяственные  расходы заполняются в целом по предприятию на основании данных бух.учёта </t>
  </si>
  <si>
    <t>7.4</t>
  </si>
  <si>
    <t>Прочие обязательные платежи</t>
  </si>
  <si>
    <t xml:space="preserve"> расходы на техническое обслуживание оборудования</t>
  </si>
  <si>
    <t>**- расходы по данной статье планируются, в случае его формирования на предприятии; ремонтный фонд создаётся для обеспечения равномерного включения в себестоимость затрат на проведение особо сложных видов ремонтов основных средств.</t>
  </si>
  <si>
    <t>4.4</t>
  </si>
  <si>
    <t>- прочие платежи</t>
  </si>
  <si>
    <t>***-отдельно представить расшифровку цеховых расходов с обоснованием их распределения по видам деятельности</t>
  </si>
  <si>
    <t>Среднегодовая стоимость</t>
  </si>
  <si>
    <t>Ставка налога на имущество</t>
  </si>
  <si>
    <t>Таблица № 12</t>
  </si>
  <si>
    <t xml:space="preserve">∆ НВВ ВН </t>
  </si>
  <si>
    <t xml:space="preserve">∆ НВВ СН I </t>
  </si>
  <si>
    <t xml:space="preserve">∆ НВВ СН II </t>
  </si>
  <si>
    <t xml:space="preserve">Тариф на содержание, руб/МВт.мес. </t>
  </si>
  <si>
    <t xml:space="preserve">Тариф на содержание, коп/кВтч </t>
  </si>
  <si>
    <t>* Затраты на реконструкцию, модернизацию, техническое перевооружение не возмещаются за счёт себестоимости услуг, поэтому в данной таблице не отражаются</t>
  </si>
  <si>
    <t>Таблица № 1 (П 1.4, П 1.5)</t>
  </si>
  <si>
    <t xml:space="preserve">Баланс электрической энергии и мощности                  </t>
  </si>
  <si>
    <t>Таблица № 2 (П1.6.)</t>
  </si>
  <si>
    <t>______________</t>
  </si>
  <si>
    <t>Расчет расходов на оплату труда</t>
  </si>
  <si>
    <t>Таблица № 3 (П1.16.)</t>
  </si>
  <si>
    <t>№                                          п/п</t>
  </si>
  <si>
    <t xml:space="preserve">                                                             (подпись)                    (расшифровка)</t>
  </si>
  <si>
    <t>№                       п/п</t>
  </si>
  <si>
    <t>№                 п/п</t>
  </si>
  <si>
    <t>№                                                   п/п</t>
  </si>
  <si>
    <t>Руководитель предприятия        ___________   ________________________________</t>
  </si>
  <si>
    <t>Таблица № 4 (П 1.17.)</t>
  </si>
  <si>
    <t>Расчет стоимости основных производственных фондов по линиям электропередач и подстанциям</t>
  </si>
  <si>
    <t>Таблица № 5 (П 1.17.1)</t>
  </si>
  <si>
    <t>№                         п.п.</t>
  </si>
  <si>
    <t>отчисления в ремонтный фонд **</t>
  </si>
  <si>
    <t>Цеховые расходы ***</t>
  </si>
  <si>
    <t>Общехозяйственные (общеэксплуатационные) расходы ****:</t>
  </si>
  <si>
    <t>Таблица № 6 (П 1.18.2)</t>
  </si>
  <si>
    <t>Расходы по содержание и эксплуатацию оборудования                                                                                      в том числе :</t>
  </si>
  <si>
    <t>другие расходы по содержанию и эксплуатации оборудования                                          (ремонт оборудования, материалы на ремонт оборудования) *</t>
  </si>
  <si>
    <t>Расчет источников финансирования капитальных вложений</t>
  </si>
  <si>
    <t>Таблица № 7 (П1.20)</t>
  </si>
  <si>
    <t>№                            п/п</t>
  </si>
  <si>
    <t>Источник финансирования</t>
  </si>
  <si>
    <t>План на период регулирования</t>
  </si>
  <si>
    <t xml:space="preserve">Справка о финансировании и освоении капитальных вложений в электросетевое строительство         
 (передача электроэнергии) </t>
  </si>
  <si>
    <t>Таблица № 8 (П1.20.3)</t>
  </si>
  <si>
    <t xml:space="preserve">установлении тарифов на передачу электрической энергии </t>
  </si>
  <si>
    <t>Таблица № 9 ( П.1.21.3)</t>
  </si>
  <si>
    <t>Таблица № 10</t>
  </si>
  <si>
    <t>№
п.п.</t>
  </si>
  <si>
    <t>Таблица № 11</t>
  </si>
  <si>
    <t xml:space="preserve">Расчет затрат на проведение ремонтных работ* на период регулирования </t>
  </si>
  <si>
    <t>ВН - высокое напряжение - 110 кВ и выше</t>
  </si>
  <si>
    <t>СH I - среднее первое напряжение - 35 кВ</t>
  </si>
  <si>
    <t>СН II - среднее второе напряжение - 20-1 кВ</t>
  </si>
  <si>
    <t>НН - низкое напряжение - 0,4 кВ и ниже</t>
  </si>
  <si>
    <t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</t>
  </si>
  <si>
    <t xml:space="preserve">             СН II</t>
  </si>
  <si>
    <t xml:space="preserve">             СН I</t>
  </si>
  <si>
    <t>СН всего, в том числе</t>
  </si>
  <si>
    <t>18.3</t>
  </si>
  <si>
    <t>Амортизация, в том числе</t>
  </si>
  <si>
    <t>Затраты на оплату труда, в том числе</t>
  </si>
  <si>
    <t>Работы и услуги непроизводственного  характера, в том числе</t>
  </si>
  <si>
    <t>Прибыль отнесенная на передачу электрической энергии (п. 1 - п. 2.9.)</t>
  </si>
  <si>
    <t xml:space="preserve">Амортизационных отчислений на полное восстановление основных фондов (100 %) в т.ч. аморт.отчислений оборуд. подстанции </t>
  </si>
  <si>
    <t>16.</t>
  </si>
  <si>
    <t>потребителям, присоединенным к центру питания на генераторном напряжении</t>
  </si>
  <si>
    <t xml:space="preserve">Полезный отпуск энергии, млн.кВтч, в т.ч.  </t>
  </si>
  <si>
    <t>- собственным потребителям ЭСО, из них:</t>
  </si>
  <si>
    <t>- потребителям оптового рынка</t>
  </si>
  <si>
    <t>- сальдо переток в другие организации</t>
  </si>
  <si>
    <t xml:space="preserve">Полезный отпуск мощности, МВт, в т.ч. </t>
  </si>
  <si>
    <t xml:space="preserve">- заявленная (расчетная) мощность собственных потребителей, пользующихся региональными электрическими сетями </t>
  </si>
  <si>
    <t>- заявленная (расчетная) мощность потребителей оптового рынка</t>
  </si>
  <si>
    <t>- в другие организации</t>
  </si>
  <si>
    <t>1.1.</t>
  </si>
  <si>
    <t>1.2.</t>
  </si>
  <si>
    <t>1.2.1.</t>
  </si>
  <si>
    <t>1.2.2.</t>
  </si>
  <si>
    <t>1.2.3.</t>
  </si>
  <si>
    <t xml:space="preserve">Мощность на производственные и хозяйственные нужды </t>
  </si>
  <si>
    <t>4.2.</t>
  </si>
  <si>
    <t>4.3.</t>
  </si>
  <si>
    <t>5.1.</t>
  </si>
  <si>
    <t>5.2.</t>
  </si>
  <si>
    <t>5.2.1.</t>
  </si>
  <si>
    <t>5.2.2.</t>
  </si>
  <si>
    <t>5.2.3.</t>
  </si>
  <si>
    <t>6.1.</t>
  </si>
  <si>
    <t>8.1.</t>
  </si>
  <si>
    <t>8.1.1.</t>
  </si>
  <si>
    <t>8.2.</t>
  </si>
  <si>
    <t>8.3.</t>
  </si>
  <si>
    <t>Таблица № 13 (П2.1)</t>
  </si>
  <si>
    <t>Прочие потребители, 
всего, в том числе:</t>
  </si>
  <si>
    <t>Финансирование капитальных вложений из средств</t>
  </si>
  <si>
    <t>Прибыль на развитие производства,       
в том числе:</t>
  </si>
  <si>
    <t>Прибыль на социальное развитие,  
в том числе:</t>
  </si>
  <si>
    <t>Налоги, сборы, платежи - всего,
в том числе:</t>
  </si>
  <si>
    <t>Необходимая валовая выручка, отнесенная на передачу электрической энергии 
(п.1 + п.2)</t>
  </si>
  <si>
    <t xml:space="preserve"> Прибыль от товарной продукции, 
в том числе:</t>
  </si>
  <si>
    <t xml:space="preserve">Примечание: Заполнению подлежат графы светло-желтого цвета </t>
  </si>
  <si>
    <t>Ремонтные работы, выполняемые подрядными организациями, в том числе</t>
  </si>
  <si>
    <t>ВСЕГО, в том числе</t>
  </si>
  <si>
    <t xml:space="preserve">**** - распределение общехозяйственных расходов осуществляется на основании выбранной базы распределения. </t>
  </si>
  <si>
    <t>Затраты на проведение аварийно-восстановительные работы (ГСМ, материалы и зап.части для ликвидации аварий, услуги сторнних организаций и др.)</t>
  </si>
  <si>
    <t>*- планируемая на период регулирования сумма затрат по п.4.3 и 4.4 должна соответствовать таблице 11</t>
  </si>
  <si>
    <t>Средневзвешеннй тариф покупки электрической энергии (для компенсации нормативных потерь)</t>
  </si>
  <si>
    <t xml:space="preserve">МУП "Тепловодоснабжение" </t>
  </si>
  <si>
    <t>Бюджетные потребители</t>
  </si>
  <si>
    <t>С.О. Афанасьев</t>
  </si>
  <si>
    <t xml:space="preserve">                                             </t>
  </si>
  <si>
    <t>Таблица № 14 (П2.2)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</si>
  <si>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 </t>
  </si>
  <si>
    <t>п/п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</si>
  <si>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</si>
  <si>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</si>
  <si>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</si>
  <si>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</si>
  <si>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</si>
  <si>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</si>
  <si>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</si>
  <si>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</si>
  <si>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</si>
  <si>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</si>
  <si>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</si>
  <si>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</si>
  <si>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</si>
  <si>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</si>
  <si>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</si>
  <si>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</si>
  <si>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</si>
  <si>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</si>
  <si>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</si>
  <si>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</si>
  <si>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</si>
  <si>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</si>
  <si>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</si>
  <si>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</si>
  <si>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</si>
  <si>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</si>
  <si>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</si>
  <si>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</si>
  <si>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</si>
  <si>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Итого</t>
  </si>
  <si>
    <t>CН II</t>
  </si>
  <si>
    <t xml:space="preserve">В п.1 учтены трудозатраты оперативного персонала подстанций напряжением 35-1150 кВ. </t>
  </si>
  <si>
    <t>Условные единицы по пп.2-9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</si>
  <si>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 xml:space="preserve">Условные единицы по п 2 "Силовые трансформаторы 1-20 кВ" определяются только для трансформаторов, используемых для собственных нужд подстанций 35-1150 кВ.  </t>
  </si>
  <si>
    <t>По пп. 3-6 учтены дополнительные трудозатраты на обслуживание и ремонт устройств релейной защиты  и автоматики, а для воздушных выключателей (п.3) - дополнительно трудозатраты по обслуживанию и ремонту компрессорных установок.</t>
  </si>
  <si>
    <t>Значение условных единиц пп.4 и 6  "Масляные выключатели  1-20 кВ" и "Выключатели нагрузки 1-20 кВ" относятся к коммутационным аппаратам, установленным в распределительных устройствах  1-20 кВ подстанций 35-1150 кВ , ТП, КТП и РП 1-20 кВ , а так же к секционирующим коммутационным аппаратам на линиях 1 - 20 кВ.</t>
  </si>
  <si>
    <t>Объем РП 1-20 кВ в условных единицах определяется по количеству установленных масляных выключателей (п.4) и выключателей нагрузки (п.6). При установке в РП трансформаторов 1-20/0,4 кВ дополнительные объемы обслуживания определяются по п.11 или  12.</t>
  </si>
  <si>
    <t>По пп.10-12 дополнительно учтены трудозатраты оперативного персонала распределительных сетей 0,4-20 кВ.</t>
  </si>
  <si>
    <t xml:space="preserve">По пп.1,2 условные единицы относятся на уровень напряжения, соответствующий первичному напряжению.  </t>
  </si>
  <si>
    <t>Условные единицы электрооборудования понизительных подстанций относятся на уровень высшего напряжения подстанций</t>
  </si>
  <si>
    <t>2018-2022гг</t>
  </si>
  <si>
    <t>Рост 2016/2015           в %</t>
  </si>
  <si>
    <t>Расчёт тарифа на услуги по передаче электрической энергии на 2018 г.</t>
  </si>
  <si>
    <t>Инвестиционная составляющая в тарифе</t>
  </si>
  <si>
    <t>Возврат НДС</t>
  </si>
  <si>
    <t>Прочая прибыль</t>
  </si>
  <si>
    <t xml:space="preserve"> - другие налоги и обязательные сборы и платежи (с расшифровкой) транспортный налог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</si>
</sst>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00"/>
    <numFmt numFmtId="167" formatCode="#,##0.0"/>
    <numFmt numFmtId="168" formatCode="0.000%"/>
    <numFmt numFmtId="169" formatCode="#,##0.00&quot;р.&quot;"/>
  </numFmts>
  <fonts count="7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sz val="10"/>
      <name val="Arial Cyr"/>
      <family val="0"/>
    </font>
    <font>
      <u val="single"/>
      <sz val="10"/>
      <color indexed="36"/>
      <name val="Times New Roman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i/>
      <sz val="10"/>
      <name val="Times New Roman Cyr"/>
      <family val="1"/>
    </font>
    <font>
      <b/>
      <sz val="11"/>
      <name val="Times New Roman Cyr"/>
      <family val="0"/>
    </font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 CYR"/>
      <family val="0"/>
    </font>
    <font>
      <b/>
      <i/>
      <sz val="10"/>
      <name val="Arial"/>
      <family val="0"/>
    </font>
    <font>
      <sz val="11"/>
      <name val="Times New Roman"/>
      <family val="1"/>
    </font>
    <font>
      <u val="single"/>
      <sz val="10"/>
      <name val="Arial Cyr"/>
      <family val="2"/>
    </font>
    <font>
      <sz val="12"/>
      <name val="Arial"/>
      <family val="0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i/>
      <sz val="11"/>
      <name val="Times New Roman CYR"/>
      <family val="1"/>
    </font>
    <font>
      <u val="single"/>
      <sz val="12"/>
      <name val="Times New Roman"/>
      <family val="1"/>
    </font>
    <font>
      <u val="single"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vertical="top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0" xfId="57" applyFont="1" applyAlignment="1">
      <alignment horizontal="justify"/>
      <protection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57" applyFont="1">
      <alignment/>
      <protection/>
    </xf>
    <xf numFmtId="0" fontId="11" fillId="0" borderId="0" xfId="57" applyFont="1" applyAlignmen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7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57" applyFont="1" applyAlignment="1">
      <alignment wrapText="1"/>
      <protection/>
    </xf>
    <xf numFmtId="0" fontId="0" fillId="0" borderId="0" xfId="57" applyFont="1" applyAlignment="1">
      <alignment horizontal="right" wrapText="1"/>
      <protection/>
    </xf>
    <xf numFmtId="0" fontId="0" fillId="0" borderId="10" xfId="57" applyFont="1" applyFill="1" applyBorder="1" applyAlignment="1">
      <alignment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11" fillId="0" borderId="0" xfId="55" applyFont="1" applyAlignment="1">
      <alignment wrapText="1"/>
      <protection/>
    </xf>
    <xf numFmtId="0" fontId="19" fillId="0" borderId="0" xfId="55">
      <alignment/>
      <protection/>
    </xf>
    <xf numFmtId="0" fontId="5" fillId="0" borderId="0" xfId="55" applyFont="1" applyAlignment="1">
      <alignment horizontal="justify" wrapText="1"/>
      <protection/>
    </xf>
    <xf numFmtId="0" fontId="11" fillId="0" borderId="12" xfId="55" applyFont="1" applyBorder="1" applyAlignment="1">
      <alignment horizontal="left" vertical="center" wrapText="1"/>
      <protection/>
    </xf>
    <xf numFmtId="164" fontId="11" fillId="0" borderId="12" xfId="62" applyNumberFormat="1" applyFont="1" applyBorder="1" applyAlignment="1">
      <alignment horizontal="center" vertical="center"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2" fontId="11" fillId="33" borderId="10" xfId="55" applyNumberFormat="1" applyFont="1" applyFill="1" applyBorder="1" applyAlignment="1">
      <alignment horizontal="center" vertical="center"/>
      <protection/>
    </xf>
    <xf numFmtId="2" fontId="11" fillId="0" borderId="10" xfId="55" applyNumberFormat="1" applyFont="1" applyBorder="1" applyAlignment="1">
      <alignment horizontal="center" vertical="center"/>
      <protection/>
    </xf>
    <xf numFmtId="10" fontId="11" fillId="33" borderId="10" xfId="62" applyNumberFormat="1" applyFont="1" applyFill="1" applyBorder="1" applyAlignment="1">
      <alignment horizontal="center" vertical="center"/>
    </xf>
    <xf numFmtId="1" fontId="11" fillId="33" borderId="10" xfId="55" applyNumberFormat="1" applyFont="1" applyFill="1" applyBorder="1" applyAlignment="1">
      <alignment horizontal="center" vertical="center"/>
      <protection/>
    </xf>
    <xf numFmtId="164" fontId="11" fillId="0" borderId="10" xfId="55" applyNumberFormat="1" applyFont="1" applyBorder="1" applyAlignment="1">
      <alignment horizontal="center" vertical="center"/>
      <protection/>
    </xf>
    <xf numFmtId="2" fontId="11" fillId="33" borderId="10" xfId="62" applyNumberFormat="1" applyFont="1" applyFill="1" applyBorder="1" applyAlignment="1">
      <alignment horizontal="center" vertical="center"/>
    </xf>
    <xf numFmtId="165" fontId="11" fillId="0" borderId="10" xfId="62" applyNumberFormat="1" applyFont="1" applyBorder="1" applyAlignment="1">
      <alignment horizontal="center" vertical="center"/>
    </xf>
    <xf numFmtId="2" fontId="11" fillId="0" borderId="10" xfId="55" applyNumberFormat="1" applyFont="1" applyFill="1" applyBorder="1" applyAlignment="1">
      <alignment horizontal="center" vertical="center"/>
      <protection/>
    </xf>
    <xf numFmtId="0" fontId="24" fillId="0" borderId="0" xfId="55" applyFont="1">
      <alignment/>
      <protection/>
    </xf>
    <xf numFmtId="0" fontId="19" fillId="0" borderId="0" xfId="55" applyAlignment="1">
      <alignment wrapText="1"/>
      <protection/>
    </xf>
    <xf numFmtId="0" fontId="11" fillId="0" borderId="10" xfId="55" applyFont="1" applyBorder="1" applyAlignment="1">
      <alignment horizontal="left" vertical="center" wrapText="1" indent="3"/>
      <protection/>
    </xf>
    <xf numFmtId="2" fontId="0" fillId="0" borderId="10" xfId="0" applyNumberFormat="1" applyFont="1" applyFill="1" applyBorder="1" applyAlignment="1">
      <alignment/>
    </xf>
    <xf numFmtId="167" fontId="0" fillId="0" borderId="0" xfId="57" applyNumberFormat="1" applyFont="1" applyAlignment="1">
      <alignment horizontal="right"/>
      <protection/>
    </xf>
    <xf numFmtId="1" fontId="16" fillId="0" borderId="0" xfId="57" applyNumberFormat="1" applyFont="1">
      <alignment/>
      <protection/>
    </xf>
    <xf numFmtId="2" fontId="19" fillId="0" borderId="0" xfId="55" applyNumberFormat="1">
      <alignment/>
      <protection/>
    </xf>
    <xf numFmtId="167" fontId="16" fillId="0" borderId="0" xfId="57" applyNumberFormat="1" applyFont="1">
      <alignment/>
      <protection/>
    </xf>
    <xf numFmtId="167" fontId="16" fillId="0" borderId="0" xfId="57" applyNumberFormat="1" applyFont="1" applyFill="1">
      <alignment/>
      <protection/>
    </xf>
    <xf numFmtId="0" fontId="26" fillId="0" borderId="0" xfId="55" applyFont="1">
      <alignment/>
      <protection/>
    </xf>
    <xf numFmtId="0" fontId="11" fillId="0" borderId="0" xfId="55" applyFont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9" fillId="0" borderId="0" xfId="54" applyNumberFormat="1" applyFont="1" applyFill="1" applyBorder="1" applyAlignment="1" applyProtection="1">
      <alignment horizontal="center" vertical="center"/>
      <protection/>
    </xf>
    <xf numFmtId="0" fontId="28" fillId="0" borderId="0" xfId="54" applyFont="1">
      <alignment/>
      <protection/>
    </xf>
    <xf numFmtId="49" fontId="28" fillId="0" borderId="1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/>
      <protection/>
    </xf>
    <xf numFmtId="49" fontId="29" fillId="0" borderId="0" xfId="54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Alignment="1">
      <alignment/>
      <protection/>
    </xf>
    <xf numFmtId="0" fontId="28" fillId="0" borderId="0" xfId="54" applyFont="1" applyFill="1" applyAlignment="1">
      <alignment/>
      <protection/>
    </xf>
    <xf numFmtId="49" fontId="28" fillId="0" borderId="13" xfId="54" applyNumberFormat="1" applyFont="1" applyBorder="1" applyAlignment="1">
      <alignment horizontal="center" vertical="center" wrapText="1"/>
      <protection/>
    </xf>
    <xf numFmtId="0" fontId="28" fillId="0" borderId="14" xfId="54" applyFont="1" applyBorder="1" applyAlignment="1">
      <alignment horizontal="left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0" xfId="54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28" fillId="0" borderId="0" xfId="54" applyFont="1" applyBorder="1" applyAlignment="1">
      <alignment horizontal="right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0" fillId="0" borderId="10" xfId="0" applyFont="1" applyBorder="1" applyAlignment="1">
      <alignment wrapText="1"/>
    </xf>
    <xf numFmtId="0" fontId="0" fillId="0" borderId="0" xfId="54" applyFont="1">
      <alignment/>
      <protection/>
    </xf>
    <xf numFmtId="0" fontId="8" fillId="0" borderId="0" xfId="54" applyNumberFormat="1" applyFont="1" applyFill="1" applyBorder="1" applyAlignment="1" applyProtection="1">
      <alignment horizontal="center" vertical="top"/>
      <protection/>
    </xf>
    <xf numFmtId="0" fontId="8" fillId="0" borderId="0" xfId="54" applyNumberFormat="1" applyFont="1" applyFill="1" applyBorder="1" applyAlignment="1" applyProtection="1">
      <alignment horizontal="right" vertical="top"/>
      <protection/>
    </xf>
    <xf numFmtId="0" fontId="0" fillId="0" borderId="0" xfId="57" applyFont="1" applyFill="1" applyBorder="1" applyAlignment="1">
      <alignment wrapText="1"/>
      <protection/>
    </xf>
    <xf numFmtId="0" fontId="23" fillId="34" borderId="10" xfId="55" applyFont="1" applyFill="1" applyBorder="1" applyAlignment="1">
      <alignment horizontal="center" vertical="center" wrapText="1"/>
      <protection/>
    </xf>
    <xf numFmtId="0" fontId="23" fillId="34" borderId="10" xfId="55" applyFont="1" applyFill="1" applyBorder="1" applyAlignment="1">
      <alignment horizontal="left" vertical="center" wrapText="1"/>
      <protection/>
    </xf>
    <xf numFmtId="2" fontId="23" fillId="34" borderId="10" xfId="55" applyNumberFormat="1" applyFont="1" applyFill="1" applyBorder="1" applyAlignment="1">
      <alignment horizontal="center" vertical="center"/>
      <protection/>
    </xf>
    <xf numFmtId="0" fontId="23" fillId="33" borderId="10" xfId="55" applyFont="1" applyFill="1" applyBorder="1" applyAlignment="1">
      <alignment horizontal="center" vertical="center" wrapText="1"/>
      <protection/>
    </xf>
    <xf numFmtId="0" fontId="23" fillId="33" borderId="10" xfId="55" applyFont="1" applyFill="1" applyBorder="1" applyAlignment="1">
      <alignment horizontal="left" vertical="center" wrapText="1"/>
      <protection/>
    </xf>
    <xf numFmtId="0" fontId="19" fillId="0" borderId="0" xfId="55" applyFont="1">
      <alignment/>
      <protection/>
    </xf>
    <xf numFmtId="0" fontId="32" fillId="0" borderId="0" xfId="55" applyFont="1" applyAlignment="1">
      <alignment wrapText="1"/>
      <protection/>
    </xf>
    <xf numFmtId="1" fontId="32" fillId="0" borderId="0" xfId="55" applyNumberFormat="1" applyFont="1">
      <alignment/>
      <protection/>
    </xf>
    <xf numFmtId="0" fontId="28" fillId="0" borderId="0" xfId="54" applyFont="1" applyAlignment="1">
      <alignment horizontal="left" vertical="center" wrapText="1"/>
      <protection/>
    </xf>
    <xf numFmtId="0" fontId="11" fillId="0" borderId="0" xfId="55" applyFont="1" applyBorder="1" applyAlignment="1">
      <alignment horizontal="left" vertical="center" wrapText="1"/>
      <protection/>
    </xf>
    <xf numFmtId="164" fontId="11" fillId="0" borderId="0" xfId="55" applyNumberFormat="1" applyFont="1" applyBorder="1" applyAlignment="1">
      <alignment horizontal="center" vertical="center"/>
      <protection/>
    </xf>
    <xf numFmtId="0" fontId="19" fillId="0" borderId="0" xfId="55" applyBorder="1">
      <alignment/>
      <protection/>
    </xf>
    <xf numFmtId="0" fontId="5" fillId="0" borderId="0" xfId="55" applyFont="1" applyBorder="1" applyAlignment="1">
      <alignment horizontal="left" vertical="center" wrapText="1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0" fillId="0" borderId="0" xfId="0" applyFont="1" applyBorder="1" applyAlignment="1">
      <alignment/>
    </xf>
    <xf numFmtId="0" fontId="12" fillId="0" borderId="0" xfId="54" applyNumberFormat="1" applyFont="1" applyFill="1" applyBorder="1" applyAlignment="1" applyProtection="1">
      <alignment horizontal="center" vertical="top"/>
      <protection/>
    </xf>
    <xf numFmtId="0" fontId="12" fillId="0" borderId="0" xfId="54" applyNumberFormat="1" applyFont="1" applyFill="1" applyBorder="1" applyAlignment="1" applyProtection="1">
      <alignment horizontal="left" vertical="top"/>
      <protection/>
    </xf>
    <xf numFmtId="0" fontId="12" fillId="0" borderId="0" xfId="54" applyNumberFormat="1" applyFont="1" applyFill="1" applyBorder="1" applyAlignment="1" applyProtection="1">
      <alignment horizontal="right" vertical="top"/>
      <protection/>
    </xf>
    <xf numFmtId="0" fontId="12" fillId="0" borderId="0" xfId="54" applyFont="1" applyBorder="1" applyAlignment="1">
      <alignment horizont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10" fontId="23" fillId="34" borderId="10" xfId="55" applyNumberFormat="1" applyFont="1" applyFill="1" applyBorder="1" applyAlignment="1">
      <alignment horizontal="center" vertical="center"/>
      <protection/>
    </xf>
    <xf numFmtId="0" fontId="25" fillId="0" borderId="0" xfId="55" applyFont="1" applyBorder="1" applyAlignment="1">
      <alignment horizontal="left" indent="3"/>
      <protection/>
    </xf>
    <xf numFmtId="0" fontId="0" fillId="0" borderId="0" xfId="0" applyBorder="1" applyAlignment="1">
      <alignment wrapText="1"/>
    </xf>
    <xf numFmtId="0" fontId="34" fillId="0" borderId="10" xfId="0" applyFont="1" applyBorder="1" applyAlignment="1">
      <alignment wrapText="1"/>
    </xf>
    <xf numFmtId="0" fontId="10" fillId="0" borderId="0" xfId="54" applyFont="1">
      <alignment/>
      <protection/>
    </xf>
    <xf numFmtId="0" fontId="35" fillId="0" borderId="0" xfId="55" applyFont="1" applyBorder="1">
      <alignment/>
      <protection/>
    </xf>
    <xf numFmtId="0" fontId="10" fillId="0" borderId="0" xfId="54" applyNumberFormat="1" applyFont="1" applyFill="1" applyBorder="1" applyAlignment="1" applyProtection="1">
      <alignment horizontal="center" vertical="top"/>
      <protection/>
    </xf>
    <xf numFmtId="0" fontId="31" fillId="0" borderId="0" xfId="57" applyFont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3" fillId="0" borderId="0" xfId="57" applyFont="1">
      <alignment/>
      <protection/>
    </xf>
    <xf numFmtId="0" fontId="31" fillId="0" borderId="0" xfId="57" applyFont="1" applyAlignment="1">
      <alignment/>
      <protection/>
    </xf>
    <xf numFmtId="0" fontId="0" fillId="35" borderId="10" xfId="0" applyFill="1" applyBorder="1" applyAlignment="1">
      <alignment/>
    </xf>
    <xf numFmtId="0" fontId="5" fillId="0" borderId="10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12" fillId="0" borderId="0" xfId="54" applyFont="1" applyAlignment="1">
      <alignment/>
      <protection/>
    </xf>
    <xf numFmtId="4" fontId="23" fillId="33" borderId="10" xfId="55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wrapText="1"/>
    </xf>
    <xf numFmtId="0" fontId="11" fillId="0" borderId="0" xfId="55" applyFont="1" applyAlignment="1">
      <alignment horizontal="justify" wrapText="1"/>
      <protection/>
    </xf>
    <xf numFmtId="0" fontId="0" fillId="0" borderId="0" xfId="0" applyAlignment="1">
      <alignment horizontal="center" wrapText="1"/>
    </xf>
    <xf numFmtId="0" fontId="0" fillId="35" borderId="10" xfId="0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55" applyFont="1" applyBorder="1">
      <alignment/>
      <protection/>
    </xf>
    <xf numFmtId="0" fontId="11" fillId="0" borderId="0" xfId="55" applyFont="1">
      <alignment/>
      <protection/>
    </xf>
    <xf numFmtId="0" fontId="23" fillId="0" borderId="0" xfId="53" applyNumberFormat="1" applyFont="1" applyFill="1" applyBorder="1" applyAlignment="1" applyProtection="1">
      <alignment horizontal="left" vertical="top" wrapText="1" indent="3"/>
      <protection/>
    </xf>
    <xf numFmtId="0" fontId="1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2" fillId="0" borderId="0" xfId="54" applyFont="1" applyAlignment="1">
      <alignment horizontal="right"/>
      <protection/>
    </xf>
    <xf numFmtId="165" fontId="0" fillId="0" borderId="10" xfId="0" applyNumberForma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65" fontId="0" fillId="0" borderId="10" xfId="0" applyNumberFormat="1" applyBorder="1" applyAlignment="1">
      <alignment wrapText="1"/>
    </xf>
    <xf numFmtId="16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horizontal="right" vertical="top" wrapText="1"/>
    </xf>
    <xf numFmtId="10" fontId="0" fillId="0" borderId="10" xfId="0" applyNumberFormat="1" applyBorder="1" applyAlignment="1">
      <alignment wrapText="1"/>
    </xf>
    <xf numFmtId="10" fontId="0" fillId="0" borderId="0" xfId="0" applyNumberFormat="1" applyFill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10" fontId="0" fillId="0" borderId="0" xfId="0" applyNumberFormat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12" fillId="0" borderId="0" xfId="57" applyFont="1" applyAlignment="1">
      <alignment vertical="top"/>
      <protection/>
    </xf>
    <xf numFmtId="0" fontId="12" fillId="0" borderId="0" xfId="57" applyFont="1" applyAlignment="1">
      <alignment horizontal="justify" wrapText="1"/>
      <protection/>
    </xf>
    <xf numFmtId="0" fontId="12" fillId="0" borderId="0" xfId="57" applyFont="1" applyAlignment="1">
      <alignment horizontal="justify"/>
      <protection/>
    </xf>
    <xf numFmtId="0" fontId="12" fillId="0" borderId="0" xfId="54" applyFont="1" applyAlignment="1">
      <alignment horizontal="left"/>
      <protection/>
    </xf>
    <xf numFmtId="0" fontId="12" fillId="0" borderId="0" xfId="54" applyFont="1" applyAlignment="1">
      <alignment horizontal="center"/>
      <protection/>
    </xf>
    <xf numFmtId="165" fontId="12" fillId="0" borderId="0" xfId="0" applyNumberFormat="1" applyFont="1" applyAlignment="1">
      <alignment/>
    </xf>
    <xf numFmtId="0" fontId="12" fillId="0" borderId="0" xfId="54" applyFont="1">
      <alignment/>
      <protection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5" fillId="0" borderId="0" xfId="57" applyFont="1">
      <alignment/>
      <protection/>
    </xf>
    <xf numFmtId="0" fontId="5" fillId="36" borderId="10" xfId="57" applyFont="1" applyFill="1" applyBorder="1" applyAlignment="1">
      <alignment horizontal="center"/>
      <protection/>
    </xf>
    <xf numFmtId="0" fontId="5" fillId="0" borderId="10" xfId="57" applyFont="1" applyBorder="1" applyAlignment="1">
      <alignment horizontal="center" vertical="top"/>
      <protection/>
    </xf>
    <xf numFmtId="0" fontId="5" fillId="0" borderId="10" xfId="57" applyFont="1" applyBorder="1" applyAlignment="1">
      <alignment vertical="center" wrapText="1"/>
      <protection/>
    </xf>
    <xf numFmtId="49" fontId="5" fillId="0" borderId="10" xfId="57" applyNumberFormat="1" applyFont="1" applyBorder="1" applyAlignment="1">
      <alignment horizontal="center" vertical="top"/>
      <protection/>
    </xf>
    <xf numFmtId="0" fontId="5" fillId="0" borderId="10" xfId="57" applyFont="1" applyBorder="1" applyAlignment="1">
      <alignment/>
      <protection/>
    </xf>
    <xf numFmtId="49" fontId="5" fillId="0" borderId="10" xfId="57" applyNumberFormat="1" applyFont="1" applyBorder="1" applyAlignment="1">
      <alignment vertical="center" wrapText="1"/>
      <protection/>
    </xf>
    <xf numFmtId="49" fontId="5" fillId="0" borderId="10" xfId="57" applyNumberFormat="1" applyFont="1" applyBorder="1" applyAlignment="1">
      <alignment/>
      <protection/>
    </xf>
    <xf numFmtId="0" fontId="39" fillId="0" borderId="10" xfId="57" applyFont="1" applyBorder="1" applyAlignment="1">
      <alignment vertical="center" wrapText="1"/>
      <protection/>
    </xf>
    <xf numFmtId="49" fontId="5" fillId="0" borderId="10" xfId="57" applyNumberFormat="1" applyFont="1" applyBorder="1" applyAlignment="1">
      <alignment vertical="top" wrapText="1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NumberFormat="1" applyFont="1" applyFill="1" applyBorder="1" applyAlignment="1" applyProtection="1">
      <alignment horizontal="left" vertical="top"/>
      <protection/>
    </xf>
    <xf numFmtId="0" fontId="5" fillId="0" borderId="0" xfId="57" applyFont="1" applyBorder="1" applyAlignment="1">
      <alignment horizontal="left" vertical="top" wrapText="1"/>
      <protection/>
    </xf>
    <xf numFmtId="0" fontId="27" fillId="0" borderId="0" xfId="57" applyFont="1" applyBorder="1" applyAlignment="1">
      <alignment horizontal="center"/>
      <protection/>
    </xf>
    <xf numFmtId="167" fontId="5" fillId="0" borderId="0" xfId="57" applyNumberFormat="1" applyFont="1">
      <alignment/>
      <protection/>
    </xf>
    <xf numFmtId="167" fontId="5" fillId="0" borderId="0" xfId="57" applyNumberFormat="1" applyFont="1" applyFill="1">
      <alignment/>
      <protection/>
    </xf>
    <xf numFmtId="0" fontId="27" fillId="0" borderId="0" xfId="57" applyFont="1">
      <alignment/>
      <protection/>
    </xf>
    <xf numFmtId="0" fontId="0" fillId="0" borderId="0" xfId="0" applyFont="1" applyAlignment="1">
      <alignment horizontal="right"/>
    </xf>
    <xf numFmtId="0" fontId="28" fillId="0" borderId="0" xfId="57" applyFont="1" applyAlignment="1">
      <alignment horizontal="center"/>
      <protection/>
    </xf>
    <xf numFmtId="167" fontId="28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37" fillId="0" borderId="0" xfId="57" applyFont="1" applyAlignment="1">
      <alignment horizontal="center"/>
      <protection/>
    </xf>
    <xf numFmtId="0" fontId="33" fillId="0" borderId="0" xfId="57" applyFont="1" applyAlignment="1">
      <alignment horizontal="right"/>
      <protection/>
    </xf>
    <xf numFmtId="0" fontId="0" fillId="0" borderId="10" xfId="57" applyFont="1" applyBorder="1" applyAlignment="1">
      <alignment horizontal="center" vertical="top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wrapText="1"/>
      <protection/>
    </xf>
    <xf numFmtId="0" fontId="12" fillId="0" borderId="0" xfId="57" applyFont="1" applyAlignment="1">
      <alignment wrapText="1"/>
      <protection/>
    </xf>
    <xf numFmtId="0" fontId="12" fillId="0" borderId="0" xfId="0" applyFont="1" applyAlignment="1">
      <alignment wrapText="1"/>
    </xf>
    <xf numFmtId="0" fontId="12" fillId="0" borderId="0" xfId="57" applyFont="1" applyAlignment="1">
      <alignment horizontal="right" wrapText="1"/>
      <protection/>
    </xf>
    <xf numFmtId="0" fontId="12" fillId="0" borderId="10" xfId="57" applyFont="1" applyBorder="1" applyAlignment="1">
      <alignment horizontal="center" wrapText="1"/>
      <protection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54" applyNumberFormat="1" applyFont="1" applyFill="1" applyBorder="1" applyAlignment="1" applyProtection="1">
      <alignment horizontal="center" vertical="top"/>
      <protection/>
    </xf>
    <xf numFmtId="0" fontId="18" fillId="0" borderId="0" xfId="57" applyFont="1" applyFill="1" applyBorder="1" applyAlignment="1">
      <alignment wrapText="1"/>
      <protection/>
    </xf>
    <xf numFmtId="49" fontId="33" fillId="0" borderId="10" xfId="57" applyNumberFormat="1" applyFont="1" applyFill="1" applyBorder="1" applyAlignment="1">
      <alignment vertical="center" wrapText="1"/>
      <protection/>
    </xf>
    <xf numFmtId="167" fontId="12" fillId="0" borderId="10" xfId="57" applyNumberFormat="1" applyFont="1" applyFill="1" applyBorder="1">
      <alignment/>
      <protection/>
    </xf>
    <xf numFmtId="49" fontId="18" fillId="0" borderId="0" xfId="57" applyNumberFormat="1" applyFont="1" applyFill="1" applyBorder="1" applyAlignment="1">
      <alignment horizontal="left" vertical="top"/>
      <protection/>
    </xf>
    <xf numFmtId="167" fontId="18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23" fillId="0" borderId="0" xfId="54" applyFont="1" applyAlignment="1">
      <alignment horizontal="left" vertical="center"/>
      <protection/>
    </xf>
    <xf numFmtId="0" fontId="5" fillId="0" borderId="0" xfId="54" applyFont="1" applyAlignment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left" vertical="top"/>
      <protection/>
    </xf>
    <xf numFmtId="0" fontId="35" fillId="0" borderId="0" xfId="55" applyFont="1" applyAlignment="1">
      <alignment wrapText="1"/>
      <protection/>
    </xf>
    <xf numFmtId="0" fontId="35" fillId="0" borderId="0" xfId="55" applyFont="1">
      <alignment/>
      <protection/>
    </xf>
    <xf numFmtId="0" fontId="9" fillId="0" borderId="0" xfId="54" applyFont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54" applyNumberFormat="1" applyFont="1" applyFill="1" applyBorder="1" applyAlignment="1" applyProtection="1">
      <alignment horizontal="left" vertical="top"/>
      <protection/>
    </xf>
    <xf numFmtId="0" fontId="9" fillId="0" borderId="0" xfId="54" applyFont="1" applyAlignment="1">
      <alignment horizontal="center"/>
      <protection/>
    </xf>
    <xf numFmtId="0" fontId="36" fillId="0" borderId="0" xfId="55" applyFont="1">
      <alignment/>
      <protection/>
    </xf>
    <xf numFmtId="0" fontId="5" fillId="0" borderId="10" xfId="57" applyFont="1" applyFill="1" applyBorder="1" applyAlignment="1">
      <alignment vertical="center" wrapText="1"/>
      <protection/>
    </xf>
    <xf numFmtId="0" fontId="41" fillId="0" borderId="0" xfId="55" applyFont="1" applyBorder="1" applyAlignment="1">
      <alignment horizontal="left" vertical="center" wrapText="1"/>
      <protection/>
    </xf>
    <xf numFmtId="167" fontId="0" fillId="0" borderId="10" xfId="0" applyNumberFormat="1" applyBorder="1" applyAlignment="1">
      <alignment horizontal="right" vertical="center" wrapText="1"/>
    </xf>
    <xf numFmtId="167" fontId="0" fillId="0" borderId="10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 wrapText="1"/>
    </xf>
    <xf numFmtId="0" fontId="5" fillId="0" borderId="0" xfId="55" applyFont="1" applyAlignment="1">
      <alignment wrapText="1"/>
      <protection/>
    </xf>
    <xf numFmtId="0" fontId="5" fillId="0" borderId="0" xfId="54" applyNumberFormat="1" applyFont="1" applyFill="1" applyBorder="1" applyAlignment="1" applyProtection="1">
      <alignment horizontal="right" vertical="top"/>
      <protection/>
    </xf>
    <xf numFmtId="167" fontId="0" fillId="35" borderId="10" xfId="0" applyNumberFormat="1" applyFill="1" applyBorder="1" applyAlignment="1">
      <alignment horizontal="right" vertical="center" wrapText="1"/>
    </xf>
    <xf numFmtId="167" fontId="0" fillId="35" borderId="10" xfId="0" applyNumberFormat="1" applyFont="1" applyFill="1" applyBorder="1" applyAlignment="1">
      <alignment horizontal="right" vertical="center" wrapText="1"/>
    </xf>
    <xf numFmtId="0" fontId="31" fillId="0" borderId="0" xfId="57" applyFont="1" applyFill="1" applyBorder="1" applyAlignment="1">
      <alignment horizontal="left"/>
      <protection/>
    </xf>
    <xf numFmtId="0" fontId="0" fillId="0" borderId="0" xfId="57" applyFont="1" applyFill="1">
      <alignment/>
      <protection/>
    </xf>
    <xf numFmtId="167" fontId="0" fillId="0" borderId="0" xfId="57" applyNumberFormat="1" applyFont="1" applyFill="1" applyAlignment="1">
      <alignment horizontal="right"/>
      <protection/>
    </xf>
    <xf numFmtId="167" fontId="0" fillId="0" borderId="0" xfId="57" applyNumberFormat="1" applyFont="1" applyFill="1">
      <alignment/>
      <protection/>
    </xf>
    <xf numFmtId="49" fontId="10" fillId="0" borderId="0" xfId="57" applyNumberFormat="1" applyFont="1" applyFill="1" applyAlignment="1">
      <alignment horizontal="left"/>
      <protection/>
    </xf>
    <xf numFmtId="0" fontId="31" fillId="0" borderId="0" xfId="57" applyFont="1" applyFill="1" applyBorder="1" applyAlignment="1">
      <alignment horizontal="left" wrapText="1"/>
      <protection/>
    </xf>
    <xf numFmtId="0" fontId="4" fillId="0" borderId="0" xfId="57" applyFont="1" applyFill="1" applyAlignment="1">
      <alignment horizontal="center" wrapText="1"/>
      <protection/>
    </xf>
    <xf numFmtId="166" fontId="10" fillId="0" borderId="0" xfId="57" applyNumberFormat="1" applyFont="1" applyFill="1">
      <alignment/>
      <protection/>
    </xf>
    <xf numFmtId="167" fontId="12" fillId="0" borderId="0" xfId="57" applyNumberFormat="1" applyFont="1" applyFill="1" applyAlignment="1">
      <alignment horizontal="right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33" fillId="0" borderId="16" xfId="57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3" fillId="0" borderId="10" xfId="57" applyFont="1" applyFill="1" applyBorder="1" applyAlignment="1">
      <alignment horizontal="center" wrapText="1"/>
      <protection/>
    </xf>
    <xf numFmtId="0" fontId="12" fillId="0" borderId="10" xfId="57" applyNumberFormat="1" applyFont="1" applyFill="1" applyBorder="1" applyAlignment="1">
      <alignment horizontal="left" vertical="top"/>
      <protection/>
    </xf>
    <xf numFmtId="49" fontId="12" fillId="0" borderId="10" xfId="57" applyNumberFormat="1" applyFont="1" applyFill="1" applyBorder="1" applyAlignment="1">
      <alignment horizontal="left" vertical="top" indent="1"/>
      <protection/>
    </xf>
    <xf numFmtId="0" fontId="12" fillId="0" borderId="10" xfId="57" applyFont="1" applyFill="1" applyBorder="1" applyAlignment="1">
      <alignment horizontal="left" wrapText="1" indent="2"/>
      <protection/>
    </xf>
    <xf numFmtId="1" fontId="12" fillId="0" borderId="10" xfId="57" applyNumberFormat="1" applyFont="1" applyFill="1" applyBorder="1" applyAlignment="1">
      <alignment horizontal="left" vertical="top"/>
      <protection/>
    </xf>
    <xf numFmtId="49" fontId="18" fillId="0" borderId="10" xfId="57" applyNumberFormat="1" applyFont="1" applyFill="1" applyBorder="1" applyAlignment="1">
      <alignment horizontal="left" vertical="top"/>
      <protection/>
    </xf>
    <xf numFmtId="0" fontId="18" fillId="0" borderId="10" xfId="57" applyFont="1" applyFill="1" applyBorder="1" applyAlignment="1">
      <alignment wrapText="1"/>
      <protection/>
    </xf>
    <xf numFmtId="167" fontId="18" fillId="0" borderId="10" xfId="57" applyNumberFormat="1" applyFont="1" applyFill="1" applyBorder="1">
      <alignment/>
      <protection/>
    </xf>
    <xf numFmtId="10" fontId="12" fillId="0" borderId="0" xfId="57" applyNumberFormat="1" applyFont="1" applyFill="1">
      <alignment/>
      <protection/>
    </xf>
    <xf numFmtId="49" fontId="12" fillId="0" borderId="0" xfId="57" applyNumberFormat="1" applyFont="1" applyFill="1" applyAlignment="1">
      <alignment horizontal="left" vertical="top"/>
      <protection/>
    </xf>
    <xf numFmtId="0" fontId="12" fillId="0" borderId="0" xfId="57" applyFont="1" applyFill="1" applyAlignment="1">
      <alignment wrapText="1"/>
      <protection/>
    </xf>
    <xf numFmtId="167" fontId="12" fillId="0" borderId="0" xfId="57" applyNumberFormat="1" applyFont="1" applyFill="1">
      <alignment/>
      <protection/>
    </xf>
    <xf numFmtId="0" fontId="12" fillId="0" borderId="0" xfId="54" applyFont="1" applyFill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54" applyFont="1" applyFill="1" applyAlignment="1">
      <alignment horizontal="center"/>
      <protection/>
    </xf>
    <xf numFmtId="0" fontId="12" fillId="0" borderId="0" xfId="54" applyFont="1" applyFill="1" applyAlignment="1">
      <alignment/>
      <protection/>
    </xf>
    <xf numFmtId="164" fontId="33" fillId="0" borderId="0" xfId="55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2" fillId="0" borderId="0" xfId="54" applyFont="1" applyFill="1">
      <alignment/>
      <protection/>
    </xf>
    <xf numFmtId="49" fontId="0" fillId="0" borderId="0" xfId="57" applyNumberFormat="1" applyFont="1" applyFill="1" applyAlignment="1">
      <alignment horizontal="left" vertical="top"/>
      <protection/>
    </xf>
    <xf numFmtId="0" fontId="0" fillId="0" borderId="0" xfId="57" applyFont="1" applyFill="1" applyAlignment="1">
      <alignment wrapText="1"/>
      <protection/>
    </xf>
    <xf numFmtId="10" fontId="0" fillId="0" borderId="0" xfId="57" applyNumberFormat="1" applyFont="1" applyFill="1">
      <alignment/>
      <protection/>
    </xf>
    <xf numFmtId="49" fontId="0" fillId="0" borderId="0" xfId="57" applyNumberFormat="1" applyFont="1" applyFill="1" applyAlignment="1">
      <alignment horizontal="left"/>
      <protection/>
    </xf>
    <xf numFmtId="167" fontId="12" fillId="35" borderId="10" xfId="57" applyNumberFormat="1" applyFont="1" applyFill="1" applyBorder="1">
      <alignment/>
      <protection/>
    </xf>
    <xf numFmtId="4" fontId="0" fillId="0" borderId="10" xfId="57" applyNumberFormat="1" applyFont="1" applyFill="1" applyBorder="1">
      <alignment/>
      <protection/>
    </xf>
    <xf numFmtId="4" fontId="17" fillId="0" borderId="10" xfId="57" applyNumberFormat="1" applyFont="1" applyBorder="1">
      <alignment/>
      <protection/>
    </xf>
    <xf numFmtId="4" fontId="17" fillId="0" borderId="10" xfId="57" applyNumberFormat="1" applyFont="1" applyFill="1" applyBorder="1">
      <alignment/>
      <protection/>
    </xf>
    <xf numFmtId="4" fontId="0" fillId="0" borderId="10" xfId="57" applyNumberFormat="1" applyFont="1" applyBorder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4" fontId="0" fillId="35" borderId="10" xfId="0" applyNumberFormat="1" applyFill="1" applyBorder="1" applyAlignment="1">
      <alignment wrapText="1"/>
    </xf>
    <xf numFmtId="10" fontId="0" fillId="35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vertical="top" wrapText="1"/>
    </xf>
    <xf numFmtId="0" fontId="1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19" fillId="0" borderId="0" xfId="55" applyFill="1">
      <alignment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" fontId="11" fillId="0" borderId="10" xfId="55" applyNumberFormat="1" applyFont="1" applyFill="1" applyBorder="1" applyAlignment="1">
      <alignment horizontal="right" vertical="center"/>
      <protection/>
    </xf>
    <xf numFmtId="0" fontId="11" fillId="0" borderId="10" xfId="55" applyFont="1" applyBorder="1" applyAlignment="1" quotePrefix="1">
      <alignment horizontal="left" vertical="center" wrapText="1"/>
      <protection/>
    </xf>
    <xf numFmtId="0" fontId="11" fillId="0" borderId="10" xfId="55" applyFont="1" applyBorder="1" applyAlignment="1">
      <alignment horizontal="right" vertical="center" wrapText="1"/>
      <protection/>
    </xf>
    <xf numFmtId="4" fontId="12" fillId="35" borderId="10" xfId="0" applyNumberFormat="1" applyFont="1" applyFill="1" applyBorder="1" applyAlignment="1">
      <alignment vertical="top" wrapText="1"/>
    </xf>
    <xf numFmtId="0" fontId="11" fillId="0" borderId="10" xfId="55" applyFont="1" applyFill="1" applyBorder="1" applyAlignment="1">
      <alignment horizontal="right" vertical="center" wrapText="1"/>
      <protection/>
    </xf>
    <xf numFmtId="2" fontId="11" fillId="0" borderId="10" xfId="55" applyNumberFormat="1" applyFont="1" applyFill="1" applyBorder="1" applyAlignment="1">
      <alignment horizontal="right" vertical="center"/>
      <protection/>
    </xf>
    <xf numFmtId="2" fontId="11" fillId="35" borderId="10" xfId="55" applyNumberFormat="1" applyFont="1" applyFill="1" applyBorder="1" applyAlignment="1">
      <alignment horizontal="right" vertical="center"/>
      <protection/>
    </xf>
    <xf numFmtId="2" fontId="11" fillId="0" borderId="10" xfId="55" applyNumberFormat="1" applyFont="1" applyBorder="1" applyAlignment="1">
      <alignment horizontal="right" vertical="center"/>
      <protection/>
    </xf>
    <xf numFmtId="10" fontId="11" fillId="0" borderId="10" xfId="62" applyNumberFormat="1" applyFont="1" applyFill="1" applyBorder="1" applyAlignment="1">
      <alignment horizontal="right" vertical="center"/>
    </xf>
    <xf numFmtId="10" fontId="11" fillId="35" borderId="10" xfId="62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horizontal="center"/>
      <protection/>
    </xf>
    <xf numFmtId="10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57" applyFont="1" applyFill="1" applyBorder="1" applyAlignment="1">
      <alignment horizontal="center" vertical="center" wrapText="1"/>
      <protection/>
    </xf>
    <xf numFmtId="4" fontId="0" fillId="35" borderId="10" xfId="57" applyNumberFormat="1" applyFont="1" applyFill="1" applyBorder="1">
      <alignment/>
      <protection/>
    </xf>
    <xf numFmtId="4" fontId="0" fillId="35" borderId="10" xfId="57" applyNumberFormat="1" applyFont="1" applyFill="1" applyBorder="1" applyAlignment="1">
      <alignment wrapText="1"/>
      <protection/>
    </xf>
    <xf numFmtId="0" fontId="31" fillId="0" borderId="0" xfId="57" applyFont="1" applyFill="1" applyAlignment="1">
      <alignment/>
      <protection/>
    </xf>
    <xf numFmtId="0" fontId="0" fillId="0" borderId="0" xfId="0" applyFill="1" applyAlignment="1">
      <alignment/>
    </xf>
    <xf numFmtId="0" fontId="13" fillId="0" borderId="0" xfId="57" applyFont="1" applyFill="1" applyAlignment="1">
      <alignment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right"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4" fontId="0" fillId="0" borderId="10" xfId="0" applyNumberFormat="1" applyFill="1" applyBorder="1" applyAlignment="1">
      <alignment/>
    </xf>
    <xf numFmtId="0" fontId="0" fillId="0" borderId="10" xfId="56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6" fillId="0" borderId="0" xfId="54" applyNumberFormat="1" applyFont="1" applyFill="1" applyBorder="1" applyAlignment="1" applyProtection="1">
      <alignment horizontal="center" vertical="top"/>
      <protection/>
    </xf>
    <xf numFmtId="9" fontId="0" fillId="0" borderId="0" xfId="0" applyNumberFormat="1" applyFill="1" applyAlignment="1">
      <alignment/>
    </xf>
    <xf numFmtId="4" fontId="0" fillId="0" borderId="10" xfId="57" applyNumberFormat="1" applyFont="1" applyFill="1" applyBorder="1" applyAlignment="1">
      <alignment horizontal="right" wrapText="1"/>
      <protection/>
    </xf>
    <xf numFmtId="4" fontId="0" fillId="0" borderId="10" xfId="0" applyNumberFormat="1" applyFill="1" applyBorder="1" applyAlignment="1">
      <alignment horizontal="right"/>
    </xf>
    <xf numFmtId="4" fontId="0" fillId="35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35" borderId="10" xfId="57" applyFont="1" applyFill="1" applyBorder="1" applyAlignment="1">
      <alignment wrapText="1"/>
      <protection/>
    </xf>
    <xf numFmtId="4" fontId="12" fillId="35" borderId="10" xfId="57" applyNumberFormat="1" applyFont="1" applyFill="1" applyBorder="1" applyAlignment="1">
      <alignment wrapText="1"/>
      <protection/>
    </xf>
    <xf numFmtId="4" fontId="12" fillId="0" borderId="10" xfId="57" applyNumberFormat="1" applyFont="1" applyFill="1" applyBorder="1" applyAlignment="1">
      <alignment wrapText="1"/>
      <protection/>
    </xf>
    <xf numFmtId="4" fontId="12" fillId="35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40" fillId="0" borderId="10" xfId="57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4" fontId="28" fillId="0" borderId="17" xfId="54" applyNumberFormat="1" applyFont="1" applyBorder="1" applyAlignment="1">
      <alignment horizontal="right" vertical="center" wrapText="1"/>
      <protection/>
    </xf>
    <xf numFmtId="4" fontId="28" fillId="35" borderId="10" xfId="54" applyNumberFormat="1" applyFont="1" applyFill="1" applyBorder="1" applyAlignment="1">
      <alignment horizontal="center" vertical="center" wrapText="1"/>
      <protection/>
    </xf>
    <xf numFmtId="4" fontId="28" fillId="35" borderId="11" xfId="54" applyNumberFormat="1" applyFont="1" applyFill="1" applyBorder="1" applyAlignment="1">
      <alignment horizontal="center" vertical="center" wrapText="1"/>
      <protection/>
    </xf>
    <xf numFmtId="4" fontId="28" fillId="35" borderId="10" xfId="54" applyNumberFormat="1" applyFont="1" applyFill="1" applyBorder="1" applyAlignment="1">
      <alignment horizontal="left" vertical="center" wrapText="1"/>
      <protection/>
    </xf>
    <xf numFmtId="4" fontId="28" fillId="35" borderId="17" xfId="54" applyNumberFormat="1" applyFont="1" applyFill="1" applyBorder="1" applyAlignment="1">
      <alignment horizontal="right" vertical="center" wrapText="1"/>
      <protection/>
    </xf>
    <xf numFmtId="4" fontId="28" fillId="0" borderId="17" xfId="54" applyNumberFormat="1" applyFont="1" applyFill="1" applyBorder="1" applyAlignment="1">
      <alignment horizontal="right" vertical="center" wrapText="1"/>
      <protection/>
    </xf>
    <xf numFmtId="4" fontId="5" fillId="0" borderId="10" xfId="57" applyNumberFormat="1" applyFont="1" applyBorder="1">
      <alignment/>
      <protection/>
    </xf>
    <xf numFmtId="4" fontId="5" fillId="0" borderId="10" xfId="57" applyNumberFormat="1" applyFont="1" applyFill="1" applyBorder="1">
      <alignment/>
      <protection/>
    </xf>
    <xf numFmtId="4" fontId="38" fillId="0" borderId="10" xfId="57" applyNumberFormat="1" applyFont="1" applyBorder="1">
      <alignment/>
      <protection/>
    </xf>
    <xf numFmtId="4" fontId="27" fillId="0" borderId="10" xfId="57" applyNumberFormat="1" applyFont="1" applyFill="1" applyBorder="1">
      <alignment/>
      <protection/>
    </xf>
    <xf numFmtId="4" fontId="5" fillId="35" borderId="10" xfId="57" applyNumberFormat="1" applyFont="1" applyFill="1" applyBorder="1">
      <alignment/>
      <protection/>
    </xf>
    <xf numFmtId="2" fontId="11" fillId="0" borderId="10" xfId="62" applyNumberFormat="1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right"/>
    </xf>
    <xf numFmtId="0" fontId="27" fillId="0" borderId="10" xfId="57" applyFont="1" applyBorder="1" applyAlignment="1">
      <alignment vertical="center" wrapText="1"/>
      <protection/>
    </xf>
    <xf numFmtId="4" fontId="27" fillId="35" borderId="10" xfId="57" applyNumberFormat="1" applyFont="1" applyFill="1" applyBorder="1">
      <alignment/>
      <protection/>
    </xf>
    <xf numFmtId="4" fontId="38" fillId="35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wrapText="1"/>
      <protection/>
    </xf>
    <xf numFmtId="0" fontId="0" fillId="35" borderId="10" xfId="0" applyFont="1" applyFill="1" applyBorder="1" applyAlignment="1">
      <alignment wrapText="1"/>
    </xf>
    <xf numFmtId="0" fontId="42" fillId="0" borderId="0" xfId="54" applyFont="1" applyAlignment="1">
      <alignment horizontal="left"/>
      <protection/>
    </xf>
    <xf numFmtId="0" fontId="42" fillId="0" borderId="0" xfId="54" applyFont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right" wrapText="1"/>
    </xf>
    <xf numFmtId="167" fontId="12" fillId="37" borderId="10" xfId="57" applyNumberFormat="1" applyFont="1" applyFill="1" applyBorder="1">
      <alignment/>
      <protection/>
    </xf>
    <xf numFmtId="0" fontId="0" fillId="0" borderId="0" xfId="0" applyNumberFormat="1" applyAlignment="1">
      <alignment horizontal="justify" vertical="center" wrapText="1"/>
    </xf>
    <xf numFmtId="0" fontId="8" fillId="35" borderId="10" xfId="57" applyFont="1" applyFill="1" applyBorder="1" applyAlignment="1">
      <alignment horizontal="center" wrapText="1"/>
      <protection/>
    </xf>
    <xf numFmtId="4" fontId="28" fillId="35" borderId="11" xfId="54" applyNumberFormat="1" applyFont="1" applyFill="1" applyBorder="1" applyAlignment="1">
      <alignment horizontal="right" vertical="center" wrapText="1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4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164" fontId="11" fillId="0" borderId="0" xfId="55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11" fillId="0" borderId="0" xfId="55" applyFont="1" applyBorder="1" applyAlignment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 vertical="top" wrapText="1"/>
      <protection/>
    </xf>
    <xf numFmtId="0" fontId="11" fillId="0" borderId="18" xfId="55" applyFont="1" applyFill="1" applyBorder="1" applyAlignment="1">
      <alignment horizontal="right" vertical="center" wrapText="1"/>
      <protection/>
    </xf>
    <xf numFmtId="0" fontId="11" fillId="0" borderId="19" xfId="55" applyFont="1" applyFill="1" applyBorder="1" applyAlignment="1">
      <alignment horizontal="right" vertical="center" wrapText="1"/>
      <protection/>
    </xf>
    <xf numFmtId="0" fontId="11" fillId="0" borderId="20" xfId="55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3" fillId="0" borderId="0" xfId="54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42" fillId="0" borderId="0" xfId="54" applyFont="1" applyAlignment="1">
      <alignment horizontal="center"/>
      <protection/>
    </xf>
    <xf numFmtId="0" fontId="31" fillId="0" borderId="0" xfId="0" applyFont="1" applyAlignment="1">
      <alignment horizontal="center" wrapText="1"/>
    </xf>
    <xf numFmtId="0" fontId="12" fillId="0" borderId="0" xfId="57" applyFont="1" applyAlignment="1">
      <alignment horizontal="justify" wrapText="1"/>
      <protection/>
    </xf>
    <xf numFmtId="0" fontId="14" fillId="0" borderId="0" xfId="0" applyFont="1" applyBorder="1" applyAlignment="1">
      <alignment horizontal="center" wrapText="1"/>
    </xf>
    <xf numFmtId="0" fontId="5" fillId="0" borderId="0" xfId="57" applyFont="1" applyBorder="1" applyAlignment="1">
      <alignment horizontal="left" vertical="top" wrapText="1"/>
      <protection/>
    </xf>
    <xf numFmtId="0" fontId="23" fillId="0" borderId="0" xfId="57" applyFont="1" applyBorder="1" applyAlignment="1">
      <alignment horizontal="center" wrapText="1"/>
      <protection/>
    </xf>
    <xf numFmtId="0" fontId="37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0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0" fillId="0" borderId="0" xfId="57" applyFont="1" applyFill="1" applyAlignment="1">
      <alignment horizontal="right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37" fillId="0" borderId="0" xfId="57" applyFont="1" applyFill="1" applyAlignment="1">
      <alignment horizont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horizontal="left" wrapText="1"/>
      <protection/>
    </xf>
    <xf numFmtId="164" fontId="5" fillId="0" borderId="0" xfId="55" applyNumberFormat="1" applyFont="1" applyBorder="1" applyAlignment="1">
      <alignment horizontal="center" vertical="center"/>
      <protection/>
    </xf>
    <xf numFmtId="0" fontId="28" fillId="0" borderId="0" xfId="54" applyFont="1" applyAlignment="1">
      <alignment horizontal="left" vertical="center" wrapText="1"/>
      <protection/>
    </xf>
    <xf numFmtId="0" fontId="29" fillId="0" borderId="22" xfId="54" applyNumberFormat="1" applyFont="1" applyFill="1" applyBorder="1" applyAlignment="1" applyProtection="1">
      <alignment horizontal="center" vertical="center"/>
      <protection/>
    </xf>
    <xf numFmtId="0" fontId="29" fillId="0" borderId="12" xfId="54" applyNumberFormat="1" applyFont="1" applyFill="1" applyBorder="1" applyAlignment="1" applyProtection="1">
      <alignment horizontal="center" vertical="center"/>
      <protection/>
    </xf>
    <xf numFmtId="0" fontId="29" fillId="0" borderId="23" xfId="54" applyNumberFormat="1" applyFont="1" applyFill="1" applyBorder="1" applyAlignment="1" applyProtection="1">
      <alignment horizontal="center" vertical="center"/>
      <protection/>
    </xf>
    <xf numFmtId="0" fontId="28" fillId="0" borderId="10" xfId="54" applyFont="1" applyBorder="1" applyAlignment="1">
      <alignment horizontal="right" vertical="center" wrapText="1"/>
      <protection/>
    </xf>
    <xf numFmtId="0" fontId="28" fillId="0" borderId="18" xfId="54" applyFont="1" applyBorder="1" applyAlignment="1">
      <alignment horizontal="right" vertical="center" wrapText="1"/>
      <protection/>
    </xf>
    <xf numFmtId="0" fontId="28" fillId="35" borderId="10" xfId="54" applyFont="1" applyFill="1" applyBorder="1" applyAlignment="1">
      <alignment horizontal="left" vertical="center" wrapText="1"/>
      <protection/>
    </xf>
    <xf numFmtId="0" fontId="28" fillId="35" borderId="18" xfId="54" applyFont="1" applyFill="1" applyBorder="1" applyAlignment="1">
      <alignment horizontal="left" vertical="center" wrapText="1"/>
      <protection/>
    </xf>
    <xf numFmtId="49" fontId="28" fillId="0" borderId="10" xfId="54" applyNumberFormat="1" applyFont="1" applyBorder="1" applyAlignment="1">
      <alignment horizontal="center" vertical="center" wrapText="1"/>
      <protection/>
    </xf>
    <xf numFmtId="0" fontId="28" fillId="35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8" xfId="54" applyFont="1" applyFill="1" applyBorder="1" applyAlignment="1">
      <alignment horizontal="left" vertical="center" wrapText="1"/>
      <protection/>
    </xf>
    <xf numFmtId="49" fontId="29" fillId="0" borderId="18" xfId="54" applyNumberFormat="1" applyFont="1" applyFill="1" applyBorder="1" applyAlignment="1" applyProtection="1">
      <alignment horizontal="center" vertical="center"/>
      <protection/>
    </xf>
    <xf numFmtId="49" fontId="29" fillId="0" borderId="19" xfId="54" applyNumberFormat="1" applyFont="1" applyFill="1" applyBorder="1" applyAlignment="1" applyProtection="1">
      <alignment horizontal="center" vertical="center"/>
      <protection/>
    </xf>
    <xf numFmtId="49" fontId="29" fillId="0" borderId="20" xfId="54" applyNumberFormat="1" applyFont="1" applyFill="1" applyBorder="1" applyAlignment="1" applyProtection="1">
      <alignment horizontal="center" vertical="center"/>
      <protection/>
    </xf>
    <xf numFmtId="0" fontId="29" fillId="0" borderId="24" xfId="54" applyNumberFormat="1" applyFont="1" applyFill="1" applyBorder="1" applyAlignment="1" applyProtection="1">
      <alignment horizontal="center" vertical="center"/>
      <protection/>
    </xf>
    <xf numFmtId="0" fontId="28" fillId="0" borderId="10" xfId="54" applyFont="1" applyBorder="1" applyAlignment="1">
      <alignment horizontal="left" vertical="center" wrapText="1"/>
      <protection/>
    </xf>
    <xf numFmtId="0" fontId="28" fillId="0" borderId="18" xfId="54" applyFont="1" applyBorder="1" applyAlignment="1">
      <alignment horizontal="left" vertical="center" wrapText="1"/>
      <protection/>
    </xf>
    <xf numFmtId="0" fontId="23" fillId="0" borderId="0" xfId="54" applyFont="1" applyAlignment="1">
      <alignment horizontal="center" vertical="center" wrapText="1"/>
      <protection/>
    </xf>
    <xf numFmtId="49" fontId="29" fillId="0" borderId="23" xfId="54" applyNumberFormat="1" applyFont="1" applyFill="1" applyBorder="1" applyAlignment="1" applyProtection="1">
      <alignment horizontal="center" vertical="center"/>
      <protection/>
    </xf>
    <xf numFmtId="49" fontId="29" fillId="0" borderId="10" xfId="54" applyNumberFormat="1" applyFont="1" applyFill="1" applyBorder="1" applyAlignment="1" applyProtection="1">
      <alignment horizontal="center" vertical="center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21" xfId="54" applyFont="1" applyBorder="1" applyAlignment="1">
      <alignment horizontal="center"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9" fillId="0" borderId="16" xfId="54" applyFont="1" applyBorder="1" applyAlignment="1">
      <alignment horizontal="center" vertical="center" wrapText="1"/>
      <protection/>
    </xf>
    <xf numFmtId="0" fontId="29" fillId="0" borderId="21" xfId="54" applyFont="1" applyBorder="1" applyAlignment="1">
      <alignment horizontal="center" vertical="center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25" xfId="54" applyFont="1" applyBorder="1" applyAlignment="1">
      <alignment horizontal="right" vertical="center" wrapText="1"/>
      <protection/>
    </xf>
    <xf numFmtId="0" fontId="29" fillId="0" borderId="16" xfId="54" applyFont="1" applyBorder="1" applyAlignment="1">
      <alignment horizontal="right" vertical="center" wrapText="1"/>
      <protection/>
    </xf>
    <xf numFmtId="0" fontId="29" fillId="0" borderId="13" xfId="54" applyFont="1" applyBorder="1" applyAlignment="1">
      <alignment horizontal="right" vertical="center" wrapText="1"/>
      <protection/>
    </xf>
    <xf numFmtId="0" fontId="11" fillId="0" borderId="0" xfId="55" applyFont="1" applyAlignment="1">
      <alignment wrapText="1"/>
      <protection/>
    </xf>
    <xf numFmtId="0" fontId="19" fillId="0" borderId="0" xfId="55">
      <alignment/>
      <protection/>
    </xf>
    <xf numFmtId="0" fontId="11" fillId="0" borderId="0" xfId="55" applyFont="1" applyAlignment="1">
      <alignment/>
      <protection/>
    </xf>
    <xf numFmtId="0" fontId="35" fillId="0" borderId="0" xfId="55" applyFont="1" applyAlignment="1">
      <alignment/>
      <protection/>
    </xf>
    <xf numFmtId="0" fontId="11" fillId="0" borderId="0" xfId="55" applyFont="1" applyAlignment="1">
      <alignment horizontal="justify" wrapText="1"/>
      <protection/>
    </xf>
    <xf numFmtId="0" fontId="19" fillId="0" borderId="0" xfId="55" applyAlignment="1">
      <alignment wrapText="1"/>
      <protection/>
    </xf>
    <xf numFmtId="0" fontId="19" fillId="0" borderId="0" xfId="55" applyAlignment="1">
      <alignment horizontal="justify" wrapText="1"/>
      <protection/>
    </xf>
    <xf numFmtId="0" fontId="10" fillId="0" borderId="0" xfId="0" applyFont="1" applyAlignment="1">
      <alignment horizontal="right"/>
    </xf>
    <xf numFmtId="0" fontId="21" fillId="0" borderId="0" xfId="55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/>
      <protection/>
    </xf>
    <xf numFmtId="0" fontId="36" fillId="0" borderId="0" xfId="55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Материалы от перепродавцов_2006" xfId="54"/>
    <cellStyle name="Обычный_Расчет" xfId="55"/>
    <cellStyle name="Обычный_табл22-24 c 1 июня 2003(ВН)" xfId="56"/>
    <cellStyle name="Обычный_тарифы на 2002г с 1-0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C9"/>
  <sheetViews>
    <sheetView view="pageBreakPreview" zoomScale="145" zoomScaleSheetLayoutView="145" zoomScalePageLayoutView="0" workbookViewId="0" topLeftCell="A1">
      <selection activeCell="C6" sqref="C6"/>
    </sheetView>
  </sheetViews>
  <sheetFormatPr defaultColWidth="9.00390625" defaultRowHeight="12.75"/>
  <cols>
    <col min="1" max="1" width="9.375" style="132" customWidth="1"/>
    <col min="2" max="2" width="25.875" style="0" customWidth="1"/>
    <col min="3" max="3" width="30.875" style="0" customWidth="1"/>
  </cols>
  <sheetData>
    <row r="2" spans="1:3" s="141" customFormat="1" ht="25.5">
      <c r="A2" s="139"/>
      <c r="B2" s="287" t="s">
        <v>264</v>
      </c>
      <c r="C2" s="140" t="s">
        <v>398</v>
      </c>
    </row>
    <row r="3" spans="2:3" ht="12.75">
      <c r="B3" s="288" t="s">
        <v>265</v>
      </c>
      <c r="C3" s="138">
        <v>2016</v>
      </c>
    </row>
    <row r="4" spans="2:3" ht="12.75">
      <c r="B4" s="288" t="s">
        <v>2</v>
      </c>
      <c r="C4" s="138">
        <v>2017</v>
      </c>
    </row>
    <row r="5" spans="2:3" ht="12.75">
      <c r="B5" s="288" t="s">
        <v>3</v>
      </c>
      <c r="C5" s="138" t="s">
        <v>445</v>
      </c>
    </row>
    <row r="6" spans="2:3" ht="63.75">
      <c r="B6" s="287" t="s">
        <v>397</v>
      </c>
      <c r="C6" s="129"/>
    </row>
    <row r="9" ht="12.75">
      <c r="B9" s="358" t="s">
        <v>391</v>
      </c>
    </row>
  </sheetData>
  <sheetProtection/>
  <printOptions/>
  <pageMargins left="0.7874015748031497" right="0.7874015748031497" top="0.7874015748031497" bottom="0.7874015748031497" header="0.1968503937007874" footer="0.2362204724409449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9"/>
  <sheetViews>
    <sheetView showGridLines="0" view="pageBreakPreview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5.875" style="332" customWidth="1"/>
    <col min="2" max="2" width="42.625" style="332" customWidth="1"/>
    <col min="3" max="4" width="13.375" style="332" customWidth="1"/>
    <col min="5" max="5" width="13.375" style="337" customWidth="1"/>
    <col min="6" max="16384" width="9.375" style="332" customWidth="1"/>
  </cols>
  <sheetData>
    <row r="1" spans="1:5" ht="15.75">
      <c r="A1" s="331" t="str">
        <f>+Заполнить!C2</f>
        <v>МУП "Тепловодоснабжение" </v>
      </c>
      <c r="B1" s="279"/>
      <c r="C1" s="279"/>
      <c r="D1" s="436" t="s">
        <v>336</v>
      </c>
      <c r="E1" s="436"/>
    </row>
    <row r="2" spans="1:5" s="336" customFormat="1" ht="12.75">
      <c r="A2" s="333"/>
      <c r="B2" s="334"/>
      <c r="C2" s="334"/>
      <c r="D2" s="334"/>
      <c r="E2" s="335"/>
    </row>
    <row r="3" spans="1:5" ht="15.75">
      <c r="A3" s="438" t="s">
        <v>109</v>
      </c>
      <c r="B3" s="438"/>
      <c r="C3" s="438"/>
      <c r="D3" s="438"/>
      <c r="E3" s="438"/>
    </row>
    <row r="4" spans="1:5" ht="15.75">
      <c r="A4" s="438" t="s">
        <v>335</v>
      </c>
      <c r="B4" s="438"/>
      <c r="C4" s="438"/>
      <c r="D4" s="438"/>
      <c r="E4" s="438"/>
    </row>
    <row r="5" spans="1:4" ht="12.75">
      <c r="A5" s="279"/>
      <c r="B5" s="279"/>
      <c r="C5" s="279"/>
      <c r="D5" s="279"/>
    </row>
    <row r="6" spans="1:5" s="336" customFormat="1" ht="25.5">
      <c r="A6" s="338" t="s">
        <v>321</v>
      </c>
      <c r="B6" s="338" t="s">
        <v>91</v>
      </c>
      <c r="C6" s="339">
        <v>2016</v>
      </c>
      <c r="D6" s="339">
        <f>+Заполнить!C4</f>
        <v>2017</v>
      </c>
      <c r="E6" s="339" t="str">
        <f>+Заполнить!C5</f>
        <v>2018-2022гг</v>
      </c>
    </row>
    <row r="7" spans="1:5" ht="12.75">
      <c r="A7" s="340">
        <v>1</v>
      </c>
      <c r="B7" s="341">
        <v>2</v>
      </c>
      <c r="C7" s="341"/>
      <c r="D7" s="341">
        <f>+B7+1</f>
        <v>3</v>
      </c>
      <c r="E7" s="341">
        <f>+D7+1</f>
        <v>4</v>
      </c>
    </row>
    <row r="8" spans="1:5" ht="25.5">
      <c r="A8" s="439" t="s">
        <v>7</v>
      </c>
      <c r="B8" s="29" t="s">
        <v>386</v>
      </c>
      <c r="C8" s="348">
        <f>C9</f>
        <v>2600.56</v>
      </c>
      <c r="D8" s="348">
        <f>D9</f>
        <v>2759.9</v>
      </c>
      <c r="E8" s="348">
        <f>E9</f>
        <v>3173</v>
      </c>
    </row>
    <row r="9" spans="1:5" ht="12.75">
      <c r="A9" s="440"/>
      <c r="B9" s="29" t="s">
        <v>110</v>
      </c>
      <c r="C9" s="348">
        <f>C10+C11+C12+C13</f>
        <v>2600.56</v>
      </c>
      <c r="D9" s="348">
        <f>D10+D11+D12+D13</f>
        <v>2759.9</v>
      </c>
      <c r="E9" s="348">
        <f>E10+E11+E12+E13</f>
        <v>3173</v>
      </c>
    </row>
    <row r="10" spans="1:5" ht="12.75">
      <c r="A10" s="440"/>
      <c r="B10" s="340" t="s">
        <v>4</v>
      </c>
      <c r="C10" s="350"/>
      <c r="D10" s="350"/>
      <c r="E10" s="350"/>
    </row>
    <row r="11" spans="1:5" ht="12.75">
      <c r="A11" s="440"/>
      <c r="B11" s="340" t="s">
        <v>157</v>
      </c>
      <c r="C11" s="350"/>
      <c r="D11" s="350"/>
      <c r="E11" s="350"/>
    </row>
    <row r="12" spans="1:5" ht="12.75">
      <c r="A12" s="440"/>
      <c r="B12" s="340" t="s">
        <v>158</v>
      </c>
      <c r="C12" s="350"/>
      <c r="D12" s="350"/>
      <c r="E12" s="350"/>
    </row>
    <row r="13" spans="1:5" ht="12.75">
      <c r="A13" s="441"/>
      <c r="B13" s="340" t="s">
        <v>5</v>
      </c>
      <c r="C13" s="350">
        <v>2600.56</v>
      </c>
      <c r="D13" s="350">
        <v>2759.9</v>
      </c>
      <c r="E13" s="350">
        <v>3173</v>
      </c>
    </row>
    <row r="14" spans="1:5" ht="25.5">
      <c r="A14" s="437" t="s">
        <v>11</v>
      </c>
      <c r="B14" s="29" t="s">
        <v>387</v>
      </c>
      <c r="C14" s="348">
        <f>C15</f>
        <v>0</v>
      </c>
      <c r="D14" s="348">
        <f>D15</f>
        <v>0</v>
      </c>
      <c r="E14" s="348">
        <f>E15</f>
        <v>0</v>
      </c>
    </row>
    <row r="15" spans="1:5" ht="12.75">
      <c r="A15" s="437"/>
      <c r="B15" s="29" t="s">
        <v>110</v>
      </c>
      <c r="C15" s="350">
        <v>0</v>
      </c>
      <c r="D15" s="350">
        <v>0</v>
      </c>
      <c r="E15" s="350">
        <v>0</v>
      </c>
    </row>
    <row r="16" spans="1:5" ht="12.75">
      <c r="A16" s="328" t="s">
        <v>12</v>
      </c>
      <c r="B16" s="29" t="s">
        <v>111</v>
      </c>
      <c r="C16" s="350"/>
      <c r="D16" s="350"/>
      <c r="E16" s="350"/>
    </row>
    <row r="17" spans="1:5" ht="12.75">
      <c r="A17" s="328" t="s">
        <v>13</v>
      </c>
      <c r="B17" s="29" t="s">
        <v>112</v>
      </c>
      <c r="C17" s="350"/>
      <c r="D17" s="350"/>
      <c r="E17" s="350"/>
    </row>
    <row r="18" spans="1:5" ht="12.75">
      <c r="A18" s="328" t="s">
        <v>28</v>
      </c>
      <c r="B18" s="29" t="s">
        <v>113</v>
      </c>
      <c r="C18" s="348">
        <f>SUM(C19:C21)</f>
        <v>0</v>
      </c>
      <c r="D18" s="348">
        <f>SUM(D19:D21)</f>
        <v>0</v>
      </c>
      <c r="E18" s="348">
        <f>SUM(E19:E21)</f>
        <v>0</v>
      </c>
    </row>
    <row r="19" spans="1:5" ht="12.75">
      <c r="A19" s="328"/>
      <c r="B19" s="29" t="s">
        <v>114</v>
      </c>
      <c r="C19" s="350"/>
      <c r="D19" s="350"/>
      <c r="E19" s="350"/>
    </row>
    <row r="20" spans="1:5" ht="12.75">
      <c r="A20" s="328"/>
      <c r="B20" s="29" t="s">
        <v>115</v>
      </c>
      <c r="C20" s="350"/>
      <c r="D20" s="350"/>
      <c r="E20" s="350"/>
    </row>
    <row r="21" spans="1:5" ht="12.75">
      <c r="A21" s="328"/>
      <c r="B21" s="352" t="s">
        <v>116</v>
      </c>
      <c r="C21" s="350"/>
      <c r="D21" s="350"/>
      <c r="E21" s="350"/>
    </row>
    <row r="22" spans="1:5" ht="12.75">
      <c r="A22" s="328" t="s">
        <v>29</v>
      </c>
      <c r="B22" s="29" t="s">
        <v>117</v>
      </c>
      <c r="C22" s="348">
        <f>+C35+C34+C29+C18+C17+C16+C14+C8</f>
        <v>2690.04972</v>
      </c>
      <c r="D22" s="348">
        <f>+D35+D34+D29+D18+D17+D16+D14+D8</f>
        <v>2962.01036</v>
      </c>
      <c r="E22" s="348">
        <f>+E35+E34+E29+E18+E17+E16+E14+E8</f>
        <v>3354.89962</v>
      </c>
    </row>
    <row r="23" spans="1:5" ht="25.5">
      <c r="A23" s="328" t="s">
        <v>30</v>
      </c>
      <c r="B23" s="29" t="s">
        <v>388</v>
      </c>
      <c r="C23" s="348">
        <f>C24+C29+C34+C35</f>
        <v>89.48972</v>
      </c>
      <c r="D23" s="348">
        <f>D24+D29+D34+D35</f>
        <v>202.11035999999996</v>
      </c>
      <c r="E23" s="348">
        <f>E24+E29+E34+E35</f>
        <v>181.89962</v>
      </c>
    </row>
    <row r="24" spans="1:5" ht="12.75">
      <c r="A24" s="328"/>
      <c r="B24" s="29" t="s">
        <v>118</v>
      </c>
      <c r="C24" s="348">
        <f>C25+C26+C27+C28</f>
        <v>0</v>
      </c>
      <c r="D24" s="348">
        <f>D25+D26+D27+D28</f>
        <v>0</v>
      </c>
      <c r="E24" s="348">
        <f>E25+E26+E27+E28</f>
        <v>0</v>
      </c>
    </row>
    <row r="25" spans="1:5" ht="12.75">
      <c r="A25" s="328"/>
      <c r="B25" s="340" t="s">
        <v>4</v>
      </c>
      <c r="C25" s="350"/>
      <c r="D25" s="350"/>
      <c r="E25" s="350"/>
    </row>
    <row r="26" spans="1:5" ht="12.75">
      <c r="A26" s="328"/>
      <c r="B26" s="340" t="s">
        <v>157</v>
      </c>
      <c r="C26" s="350"/>
      <c r="D26" s="350"/>
      <c r="E26" s="350"/>
    </row>
    <row r="27" spans="1:5" ht="12.75">
      <c r="A27" s="328"/>
      <c r="B27" s="340" t="s">
        <v>158</v>
      </c>
      <c r="C27" s="350"/>
      <c r="D27" s="350"/>
      <c r="E27" s="350"/>
    </row>
    <row r="28" spans="1:5" ht="12.75">
      <c r="A28" s="328"/>
      <c r="B28" s="340" t="s">
        <v>5</v>
      </c>
      <c r="C28" s="350"/>
      <c r="D28" s="350"/>
      <c r="E28" s="350"/>
    </row>
    <row r="29" spans="1:5" ht="12.75">
      <c r="A29" s="328"/>
      <c r="B29" s="29" t="s">
        <v>119</v>
      </c>
      <c r="C29" s="348">
        <f>'4. Амортизация'!C15</f>
        <v>80.23972</v>
      </c>
      <c r="D29" s="348">
        <f>'4. Амортизация'!D15</f>
        <v>192.86035999999996</v>
      </c>
      <c r="E29" s="348">
        <f>'4. Амортизация'!E15</f>
        <v>172.64962</v>
      </c>
    </row>
    <row r="30" spans="1:5" ht="12.75">
      <c r="A30" s="328"/>
      <c r="B30" s="340" t="s">
        <v>4</v>
      </c>
      <c r="C30" s="350"/>
      <c r="D30" s="350"/>
      <c r="E30" s="350"/>
    </row>
    <row r="31" spans="1:5" ht="12.75">
      <c r="A31" s="328"/>
      <c r="B31" s="340" t="s">
        <v>157</v>
      </c>
      <c r="C31" s="350"/>
      <c r="D31" s="350"/>
      <c r="E31" s="350"/>
    </row>
    <row r="32" spans="1:5" ht="12.75">
      <c r="A32" s="328"/>
      <c r="B32" s="340" t="s">
        <v>158</v>
      </c>
      <c r="C32" s="350"/>
      <c r="D32" s="350"/>
      <c r="E32" s="350"/>
    </row>
    <row r="33" spans="1:5" ht="12.75">
      <c r="A33" s="328"/>
      <c r="B33" s="340" t="s">
        <v>5</v>
      </c>
      <c r="C33" s="350"/>
      <c r="D33" s="350"/>
      <c r="E33" s="350"/>
    </row>
    <row r="34" spans="1:5" ht="12.75">
      <c r="A34" s="437"/>
      <c r="B34" s="29" t="s">
        <v>120</v>
      </c>
      <c r="C34" s="350"/>
      <c r="D34" s="350"/>
      <c r="E34" s="350"/>
    </row>
    <row r="35" spans="1:5" ht="38.25">
      <c r="A35" s="437"/>
      <c r="B35" s="352" t="s">
        <v>451</v>
      </c>
      <c r="C35" s="350">
        <v>9.25</v>
      </c>
      <c r="D35" s="350">
        <v>9.25</v>
      </c>
      <c r="E35" s="350">
        <v>9.25</v>
      </c>
    </row>
    <row r="36" spans="1:5" ht="25.5">
      <c r="A36" s="328" t="s">
        <v>32</v>
      </c>
      <c r="B36" s="29" t="s">
        <v>390</v>
      </c>
      <c r="C36" s="348">
        <f>C23+C18+C17+C16+C14+C8</f>
        <v>2690.04972</v>
      </c>
      <c r="D36" s="348">
        <f>D23+D18+D17+D16+D14+D8</f>
        <v>2962.01036</v>
      </c>
      <c r="E36" s="348">
        <f>E23+E18+E17+E16+E14+E8</f>
        <v>3354.89962</v>
      </c>
    </row>
    <row r="37" spans="1:5" ht="12.75">
      <c r="A37" s="351"/>
      <c r="B37" s="340" t="s">
        <v>4</v>
      </c>
      <c r="C37" s="371"/>
      <c r="D37" s="371"/>
      <c r="E37" s="349">
        <v>0</v>
      </c>
    </row>
    <row r="38" spans="1:5" ht="12.75">
      <c r="A38" s="351"/>
      <c r="B38" s="340" t="s">
        <v>157</v>
      </c>
      <c r="C38" s="371"/>
      <c r="D38" s="371"/>
      <c r="E38" s="349">
        <f>E31+E26+E11+(E36-E31-E26-E11)*'12. Тариф'!E32</f>
        <v>99.62059459508099</v>
      </c>
    </row>
    <row r="39" spans="1:5" ht="12.75">
      <c r="A39" s="351"/>
      <c r="B39" s="340" t="s">
        <v>158</v>
      </c>
      <c r="C39" s="371"/>
      <c r="D39" s="371"/>
      <c r="E39" s="349">
        <f>E32+E27+E12+(E36-E32-E27-E12)*'12. Тариф'!F32</f>
        <v>2216.0047819928013</v>
      </c>
    </row>
    <row r="40" spans="1:5" ht="12.75">
      <c r="A40" s="351"/>
      <c r="B40" s="340" t="s">
        <v>5</v>
      </c>
      <c r="C40" s="371"/>
      <c r="D40" s="371"/>
      <c r="E40" s="349">
        <f>E33+E28+E13+(E36-E33-E28-E13)*'12. Тариф'!G32</f>
        <v>3229.3485085590883</v>
      </c>
    </row>
    <row r="41" spans="1:5" ht="25.5">
      <c r="A41" s="351" t="s">
        <v>33</v>
      </c>
      <c r="B41" s="29" t="s">
        <v>121</v>
      </c>
      <c r="C41" s="348">
        <f>'6. Калькуляция'!C33</f>
        <v>12328</v>
      </c>
      <c r="D41" s="348">
        <f>'6. Калькуляция'!D33</f>
        <v>21175.098115388933</v>
      </c>
      <c r="E41" s="348">
        <f>'6. Калькуляция'!E33</f>
        <v>25272.16394285974</v>
      </c>
    </row>
    <row r="42" spans="1:5" ht="38.25">
      <c r="A42" s="351" t="s">
        <v>35</v>
      </c>
      <c r="B42" s="343" t="s">
        <v>389</v>
      </c>
      <c r="C42" s="349">
        <f>+C36+C41</f>
        <v>15018.049719999999</v>
      </c>
      <c r="D42" s="349">
        <f>+D36+D41</f>
        <v>24137.108475388934</v>
      </c>
      <c r="E42" s="349">
        <f>+E36+E41</f>
        <v>28627.06356285974</v>
      </c>
    </row>
    <row r="43" spans="1:5" ht="12.75">
      <c r="A43" s="351" t="s">
        <v>37</v>
      </c>
      <c r="B43" s="29" t="s">
        <v>270</v>
      </c>
      <c r="C43" s="342">
        <f>+C36/C41</f>
        <v>0.2182064990266061</v>
      </c>
      <c r="D43" s="342">
        <f>+D36/D41</f>
        <v>0.139881777352775</v>
      </c>
      <c r="E43" s="342">
        <f>+E36/E41</f>
        <v>0.13275078570974036</v>
      </c>
    </row>
    <row r="44" spans="1:5" ht="12.75">
      <c r="A44" s="344"/>
      <c r="B44" s="94"/>
      <c r="C44" s="94"/>
      <c r="D44" s="344"/>
      <c r="E44" s="345"/>
    </row>
    <row r="46" spans="1:5" ht="15">
      <c r="A46" s="271" t="s">
        <v>317</v>
      </c>
      <c r="B46" s="272"/>
      <c r="C46" s="273"/>
      <c r="D46" s="271" t="s">
        <v>400</v>
      </c>
      <c r="E46" s="274"/>
    </row>
    <row r="47" spans="1:5" ht="15">
      <c r="A47" s="272" t="s">
        <v>313</v>
      </c>
      <c r="B47" s="277"/>
      <c r="C47" s="271"/>
      <c r="D47" s="273"/>
      <c r="E47" s="346"/>
    </row>
    <row r="49" spans="2:4" ht="12.75">
      <c r="B49" s="94" t="s">
        <v>252</v>
      </c>
      <c r="C49" s="94"/>
      <c r="D49" s="347">
        <v>0.24</v>
      </c>
    </row>
  </sheetData>
  <sheetProtection/>
  <mergeCells count="6">
    <mergeCell ref="D1:E1"/>
    <mergeCell ref="A14:A15"/>
    <mergeCell ref="A34:A35"/>
    <mergeCell ref="A3:E3"/>
    <mergeCell ref="A4:E4"/>
    <mergeCell ref="A8:A13"/>
  </mergeCells>
  <printOptions horizontalCentered="1"/>
  <pageMargins left="0.7874015748031497" right="0.3937007874015748" top="0.3937007874015748" bottom="0.3937007874015748" header="0" footer="0"/>
  <pageSetup blackAndWhite="1" fitToHeight="1" fitToWidth="1" horizontalDpi="600" verticalDpi="600" orientation="portrait" paperSize="9" r:id="rId1"/>
  <headerFooter alignWithMargins="0">
    <oddHeader>&amp;R86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70"/>
  <sheetViews>
    <sheetView showGridLines="0" view="pageBreakPreview" zoomScaleNormal="75" zoomScaleSheetLayoutView="100" zoomScalePageLayoutView="0" workbookViewId="0" topLeftCell="A1">
      <selection activeCell="G26" sqref="G26"/>
    </sheetView>
  </sheetViews>
  <sheetFormatPr defaultColWidth="10.625" defaultRowHeight="12.75"/>
  <cols>
    <col min="1" max="1" width="7.50390625" style="281" customWidth="1"/>
    <col min="2" max="2" width="73.625" style="279" customWidth="1"/>
    <col min="3" max="5" width="16.125" style="249" customWidth="1"/>
    <col min="6" max="6" width="15.50390625" style="280" customWidth="1"/>
    <col min="7" max="16384" width="10.625" style="247" customWidth="1"/>
  </cols>
  <sheetData>
    <row r="1" spans="1:6" ht="15.75">
      <c r="A1" s="246" t="str">
        <f>+Заполнить!C2</f>
        <v>МУП "Тепловодоснабжение" </v>
      </c>
      <c r="B1" s="247"/>
      <c r="C1" s="248"/>
      <c r="E1" s="248" t="s">
        <v>337</v>
      </c>
      <c r="F1" s="248"/>
    </row>
    <row r="2" spans="1:6" ht="15.75">
      <c r="A2" s="250"/>
      <c r="B2" s="251"/>
      <c r="C2" s="248"/>
      <c r="E2" s="248"/>
      <c r="F2" s="248"/>
    </row>
    <row r="3" spans="1:6" ht="15.75">
      <c r="A3" s="438" t="s">
        <v>288</v>
      </c>
      <c r="B3" s="438"/>
      <c r="C3" s="438"/>
      <c r="D3" s="438"/>
      <c r="E3" s="438"/>
      <c r="F3" s="247"/>
    </row>
    <row r="4" spans="1:6" ht="18.75">
      <c r="A4" s="250"/>
      <c r="B4" s="252"/>
      <c r="C4" s="253"/>
      <c r="D4" s="248"/>
      <c r="E4" s="254" t="s">
        <v>26</v>
      </c>
      <c r="F4" s="247"/>
    </row>
    <row r="5" spans="1:5" s="258" customFormat="1" ht="30">
      <c r="A5" s="255" t="s">
        <v>338</v>
      </c>
      <c r="B5" s="256" t="s">
        <v>27</v>
      </c>
      <c r="C5" s="257">
        <v>2016</v>
      </c>
      <c r="D5" s="257">
        <f>+Заполнить!C4</f>
        <v>2017</v>
      </c>
      <c r="E5" s="257" t="str">
        <f>+Заполнить!C5</f>
        <v>2018-2022гг</v>
      </c>
    </row>
    <row r="6" spans="1:5" s="258" customFormat="1" ht="15">
      <c r="A6" s="259">
        <v>1</v>
      </c>
      <c r="B6" s="259">
        <v>2</v>
      </c>
      <c r="C6" s="259">
        <v>3</v>
      </c>
      <c r="D6" s="259">
        <v>4</v>
      </c>
      <c r="E6" s="259">
        <v>5</v>
      </c>
    </row>
    <row r="7" spans="1:5" s="258" customFormat="1" ht="30">
      <c r="A7" s="260">
        <v>1</v>
      </c>
      <c r="B7" s="208" t="s">
        <v>202</v>
      </c>
      <c r="C7" s="282">
        <v>398</v>
      </c>
      <c r="D7" s="282">
        <v>437.8</v>
      </c>
      <c r="E7" s="282">
        <v>481.58</v>
      </c>
    </row>
    <row r="8" spans="1:5" s="258" customFormat="1" ht="15">
      <c r="A8" s="260">
        <v>2</v>
      </c>
      <c r="B8" s="208" t="s">
        <v>352</v>
      </c>
      <c r="C8" s="218">
        <f>SUM(C9:C12)</f>
        <v>0</v>
      </c>
      <c r="D8" s="218">
        <f>SUM(D9:D12)</f>
        <v>0</v>
      </c>
      <c r="E8" s="218">
        <f>SUM(E9:E12)</f>
        <v>0</v>
      </c>
    </row>
    <row r="9" spans="1:5" s="258" customFormat="1" ht="15">
      <c r="A9" s="261" t="s">
        <v>188</v>
      </c>
      <c r="B9" s="262" t="s">
        <v>191</v>
      </c>
      <c r="C9" s="282"/>
      <c r="D9" s="282"/>
      <c r="E9" s="282"/>
    </row>
    <row r="10" spans="1:5" s="258" customFormat="1" ht="15">
      <c r="A10" s="261" t="s">
        <v>189</v>
      </c>
      <c r="B10" s="262" t="s">
        <v>282</v>
      </c>
      <c r="C10" s="282">
        <v>0</v>
      </c>
      <c r="D10" s="282">
        <v>0</v>
      </c>
      <c r="E10" s="282">
        <v>0</v>
      </c>
    </row>
    <row r="11" spans="1:5" s="258" customFormat="1" ht="15">
      <c r="A11" s="261" t="s">
        <v>190</v>
      </c>
      <c r="B11" s="262" t="s">
        <v>192</v>
      </c>
      <c r="C11" s="282"/>
      <c r="D11" s="282"/>
      <c r="E11" s="282"/>
    </row>
    <row r="12" spans="1:5" s="258" customFormat="1" ht="15">
      <c r="A12" s="261" t="s">
        <v>283</v>
      </c>
      <c r="B12" s="262" t="s">
        <v>193</v>
      </c>
      <c r="C12" s="282"/>
      <c r="D12" s="282"/>
      <c r="E12" s="282"/>
    </row>
    <row r="13" spans="1:5" s="258" customFormat="1" ht="15">
      <c r="A13" s="260">
        <v>3</v>
      </c>
      <c r="B13" s="208" t="s">
        <v>248</v>
      </c>
      <c r="C13" s="282">
        <v>297</v>
      </c>
      <c r="D13" s="282">
        <v>326.7</v>
      </c>
      <c r="E13" s="282">
        <v>359.37</v>
      </c>
    </row>
    <row r="14" spans="1:5" s="258" customFormat="1" ht="15">
      <c r="A14" s="260">
        <v>4</v>
      </c>
      <c r="B14" s="208" t="s">
        <v>351</v>
      </c>
      <c r="C14" s="218">
        <f>SUM(C15:C16)</f>
        <v>5046</v>
      </c>
      <c r="D14" s="218">
        <f>SUM(D15:D16)</f>
        <v>5550.6</v>
      </c>
      <c r="E14" s="218">
        <f>SUM(E15:E16)</f>
        <v>6105.66</v>
      </c>
    </row>
    <row r="15" spans="1:5" s="258" customFormat="1" ht="30">
      <c r="A15" s="261" t="s">
        <v>186</v>
      </c>
      <c r="B15" s="262" t="s">
        <v>280</v>
      </c>
      <c r="C15" s="282"/>
      <c r="D15" s="282"/>
      <c r="E15" s="282"/>
    </row>
    <row r="16" spans="1:5" s="258" customFormat="1" ht="45" customHeight="1">
      <c r="A16" s="261" t="s">
        <v>187</v>
      </c>
      <c r="B16" s="262" t="s">
        <v>281</v>
      </c>
      <c r="C16" s="282">
        <v>5046</v>
      </c>
      <c r="D16" s="399">
        <v>5550.6</v>
      </c>
      <c r="E16" s="399">
        <v>6105.66</v>
      </c>
    </row>
    <row r="17" spans="1:5" s="258" customFormat="1" ht="15">
      <c r="A17" s="260">
        <v>5</v>
      </c>
      <c r="B17" s="208" t="s">
        <v>31</v>
      </c>
      <c r="C17" s="282">
        <v>1522</v>
      </c>
      <c r="D17" s="282">
        <v>1674.2</v>
      </c>
      <c r="E17" s="282">
        <v>1841.62</v>
      </c>
    </row>
    <row r="18" spans="1:5" s="258" customFormat="1" ht="15">
      <c r="A18" s="260">
        <v>6</v>
      </c>
      <c r="B18" s="208" t="s">
        <v>350</v>
      </c>
      <c r="C18" s="218"/>
      <c r="D18" s="218">
        <f>SUM(D19:D21)</f>
        <v>0</v>
      </c>
      <c r="E18" s="218">
        <f>SUM(E19:E21)</f>
        <v>0</v>
      </c>
    </row>
    <row r="19" spans="1:5" s="258" customFormat="1" ht="15">
      <c r="A19" s="261" t="s">
        <v>183</v>
      </c>
      <c r="B19" s="262" t="s">
        <v>177</v>
      </c>
      <c r="C19" s="282"/>
      <c r="D19" s="282"/>
      <c r="E19" s="282"/>
    </row>
    <row r="20" spans="1:5" s="258" customFormat="1" ht="15">
      <c r="A20" s="261" t="s">
        <v>184</v>
      </c>
      <c r="B20" s="262" t="s">
        <v>200</v>
      </c>
      <c r="C20" s="282"/>
      <c r="D20" s="282"/>
      <c r="E20" s="282"/>
    </row>
    <row r="21" spans="1:5" s="258" customFormat="1" ht="15">
      <c r="A21" s="261" t="s">
        <v>185</v>
      </c>
      <c r="B21" s="262" t="s">
        <v>178</v>
      </c>
      <c r="C21" s="282"/>
      <c r="D21" s="282"/>
      <c r="E21" s="282"/>
    </row>
    <row r="22" spans="1:5" s="258" customFormat="1" ht="15">
      <c r="A22" s="260">
        <v>7</v>
      </c>
      <c r="B22" s="208" t="s">
        <v>199</v>
      </c>
      <c r="C22" s="282"/>
      <c r="D22" s="282"/>
      <c r="E22" s="282"/>
    </row>
    <row r="23" spans="1:5" s="258" customFormat="1" ht="15">
      <c r="A23" s="260">
        <v>8</v>
      </c>
      <c r="B23" s="208" t="s">
        <v>260</v>
      </c>
      <c r="C23" s="282">
        <v>348.8</v>
      </c>
      <c r="D23" s="282">
        <v>383.68</v>
      </c>
      <c r="E23" s="282">
        <v>422.05</v>
      </c>
    </row>
    <row r="24" spans="1:5" s="258" customFormat="1" ht="31.5" customHeight="1">
      <c r="A24" s="260">
        <v>9</v>
      </c>
      <c r="B24" s="208" t="s">
        <v>284</v>
      </c>
      <c r="C24" s="282">
        <v>54</v>
      </c>
      <c r="D24" s="282">
        <v>59.4</v>
      </c>
      <c r="E24" s="282">
        <v>65.34</v>
      </c>
    </row>
    <row r="25" spans="1:5" s="258" customFormat="1" ht="15">
      <c r="A25" s="260">
        <v>10</v>
      </c>
      <c r="B25" s="208" t="s">
        <v>181</v>
      </c>
      <c r="C25" s="282">
        <v>5.5</v>
      </c>
      <c r="D25" s="282">
        <v>6.05</v>
      </c>
      <c r="E25" s="282">
        <v>6.66</v>
      </c>
    </row>
    <row r="26" spans="1:5" s="258" customFormat="1" ht="17.25" customHeight="1">
      <c r="A26" s="260">
        <v>11</v>
      </c>
      <c r="B26" s="208" t="s">
        <v>271</v>
      </c>
      <c r="C26" s="282"/>
      <c r="D26" s="282"/>
      <c r="E26" s="282"/>
    </row>
    <row r="27" spans="1:5" s="258" customFormat="1" ht="15">
      <c r="A27" s="260">
        <v>12</v>
      </c>
      <c r="B27" s="208" t="s">
        <v>255</v>
      </c>
      <c r="C27" s="282"/>
      <c r="D27" s="282"/>
      <c r="E27" s="282"/>
    </row>
    <row r="28" spans="1:5" s="258" customFormat="1" ht="30">
      <c r="A28" s="260">
        <v>13</v>
      </c>
      <c r="B28" s="208" t="s">
        <v>254</v>
      </c>
      <c r="C28" s="282">
        <v>147.1</v>
      </c>
      <c r="D28" s="282">
        <v>161.81</v>
      </c>
      <c r="E28" s="282">
        <v>177.99</v>
      </c>
    </row>
    <row r="29" spans="1:5" s="258" customFormat="1" ht="15">
      <c r="A29" s="260">
        <v>14</v>
      </c>
      <c r="B29" s="208" t="s">
        <v>179</v>
      </c>
      <c r="C29" s="282"/>
      <c r="D29" s="282"/>
      <c r="E29" s="282"/>
    </row>
    <row r="30" spans="1:5" s="258" customFormat="1" ht="15">
      <c r="A30" s="260">
        <v>15</v>
      </c>
      <c r="B30" s="208" t="s">
        <v>180</v>
      </c>
      <c r="C30" s="282"/>
      <c r="D30" s="282"/>
      <c r="E30" s="282"/>
    </row>
    <row r="31" spans="1:5" s="258" customFormat="1" ht="15">
      <c r="A31" s="260">
        <v>16</v>
      </c>
      <c r="B31" s="208" t="s">
        <v>201</v>
      </c>
      <c r="C31" s="282">
        <v>2</v>
      </c>
      <c r="D31" s="282">
        <v>2.2</v>
      </c>
      <c r="E31" s="282">
        <v>2.42</v>
      </c>
    </row>
    <row r="32" spans="1:5" s="258" customFormat="1" ht="15">
      <c r="A32" s="260">
        <v>17</v>
      </c>
      <c r="B32" s="208" t="s">
        <v>182</v>
      </c>
      <c r="C32" s="282"/>
      <c r="D32" s="282"/>
      <c r="E32" s="282"/>
    </row>
    <row r="33" spans="1:5" s="258" customFormat="1" ht="15">
      <c r="A33" s="260">
        <v>18</v>
      </c>
      <c r="B33" s="208" t="s">
        <v>291</v>
      </c>
      <c r="C33" s="218">
        <f>SUM(C34:C36)</f>
        <v>0</v>
      </c>
      <c r="D33" s="218">
        <f>SUM(D34:D36)</f>
        <v>0</v>
      </c>
      <c r="E33" s="218">
        <f>SUM(E34:E36)</f>
        <v>0</v>
      </c>
    </row>
    <row r="34" spans="1:5" s="258" customFormat="1" ht="15">
      <c r="A34" s="261" t="s">
        <v>237</v>
      </c>
      <c r="B34" s="217" t="s">
        <v>82</v>
      </c>
      <c r="C34" s="282"/>
      <c r="D34" s="282"/>
      <c r="E34" s="282"/>
    </row>
    <row r="35" spans="1:5" s="258" customFormat="1" ht="15">
      <c r="A35" s="261" t="s">
        <v>238</v>
      </c>
      <c r="B35" s="217" t="s">
        <v>285</v>
      </c>
      <c r="C35" s="282"/>
      <c r="D35" s="282"/>
      <c r="E35" s="282"/>
    </row>
    <row r="36" spans="1:5" s="258" customFormat="1" ht="15">
      <c r="A36" s="261" t="s">
        <v>349</v>
      </c>
      <c r="B36" s="217" t="s">
        <v>295</v>
      </c>
      <c r="C36" s="282"/>
      <c r="D36" s="282"/>
      <c r="E36" s="282"/>
    </row>
    <row r="37" spans="1:5" s="258" customFormat="1" ht="15">
      <c r="A37" s="263">
        <v>19</v>
      </c>
      <c r="B37" s="208" t="s">
        <v>198</v>
      </c>
      <c r="C37" s="282">
        <v>924.8</v>
      </c>
      <c r="D37" s="282">
        <v>1017.28</v>
      </c>
      <c r="E37" s="282">
        <v>1119.01</v>
      </c>
    </row>
    <row r="38" spans="1:5" s="221" customFormat="1" ht="14.25">
      <c r="A38" s="264"/>
      <c r="B38" s="265" t="s">
        <v>36</v>
      </c>
      <c r="C38" s="266">
        <f>C7+C8+C13+C14+C17+C18+C23+C24+C25+C28+C31+C33+C37</f>
        <v>8745.2</v>
      </c>
      <c r="D38" s="266">
        <f>D7+D8+D13+D14+D17+D18+D23+D24+D25+D28+D31+D33+D37</f>
        <v>9619.72</v>
      </c>
      <c r="E38" s="266">
        <f>E7+E8+E13+E14+E17+E18+E23+E24+E25+E28+E31+E33+E37</f>
        <v>10581.699999999999</v>
      </c>
    </row>
    <row r="39" spans="1:5" s="221" customFormat="1" ht="14.25">
      <c r="A39" s="219"/>
      <c r="B39" s="216"/>
      <c r="C39" s="220"/>
      <c r="D39" s="220"/>
      <c r="E39" s="220"/>
    </row>
    <row r="40" spans="1:6" s="258" customFormat="1" ht="12.75" customHeight="1">
      <c r="A40" s="442" t="s">
        <v>289</v>
      </c>
      <c r="B40" s="442"/>
      <c r="C40" s="442"/>
      <c r="D40" s="442"/>
      <c r="E40" s="442"/>
      <c r="F40" s="267"/>
    </row>
    <row r="41" spans="1:6" s="258" customFormat="1" ht="15">
      <c r="A41" s="268"/>
      <c r="B41" s="269"/>
      <c r="C41" s="270"/>
      <c r="D41" s="270"/>
      <c r="E41" s="270"/>
      <c r="F41" s="267"/>
    </row>
    <row r="42" spans="1:6" s="258" customFormat="1" ht="15">
      <c r="A42" s="268"/>
      <c r="B42" s="269"/>
      <c r="C42" s="270"/>
      <c r="D42" s="270"/>
      <c r="E42" s="270"/>
      <c r="F42" s="267"/>
    </row>
    <row r="43" spans="1:6" s="258" customFormat="1" ht="15">
      <c r="A43" s="268"/>
      <c r="B43" s="269"/>
      <c r="C43" s="270" t="s">
        <v>401</v>
      </c>
      <c r="D43" s="270"/>
      <c r="E43" s="270"/>
      <c r="F43" s="267"/>
    </row>
    <row r="44" spans="1:7" s="258" customFormat="1" ht="15">
      <c r="A44" s="271" t="s">
        <v>317</v>
      </c>
      <c r="B44" s="272"/>
      <c r="C44" s="273" t="s">
        <v>400</v>
      </c>
      <c r="D44" s="271"/>
      <c r="E44" s="274"/>
      <c r="F44" s="275"/>
      <c r="G44" s="276"/>
    </row>
    <row r="45" spans="1:7" s="258" customFormat="1" ht="15">
      <c r="A45" s="272" t="s">
        <v>313</v>
      </c>
      <c r="B45" s="277"/>
      <c r="C45" s="271"/>
      <c r="D45" s="273"/>
      <c r="E45" s="111"/>
      <c r="F45" s="111"/>
      <c r="G45" s="111"/>
    </row>
    <row r="46" ht="12.75">
      <c r="A46" s="278"/>
    </row>
    <row r="47" ht="12.75">
      <c r="A47" s="278"/>
    </row>
    <row r="48" ht="12.75">
      <c r="A48" s="278"/>
    </row>
    <row r="49" ht="12.75">
      <c r="A49" s="278"/>
    </row>
    <row r="50" ht="12.75">
      <c r="A50" s="278"/>
    </row>
    <row r="51" ht="12.75">
      <c r="A51" s="278"/>
    </row>
    <row r="52" ht="12.75">
      <c r="A52" s="278"/>
    </row>
    <row r="53" ht="12.75">
      <c r="A53" s="278"/>
    </row>
    <row r="54" ht="12.75">
      <c r="A54" s="278"/>
    </row>
    <row r="55" ht="12.75">
      <c r="A55" s="278"/>
    </row>
    <row r="56" ht="12.75">
      <c r="A56" s="278"/>
    </row>
    <row r="57" ht="12.75">
      <c r="A57" s="278"/>
    </row>
    <row r="58" ht="12.75">
      <c r="A58" s="278"/>
    </row>
    <row r="59" ht="12.75">
      <c r="A59" s="278"/>
    </row>
    <row r="60" ht="12.75">
      <c r="A60" s="278"/>
    </row>
    <row r="61" ht="12.75">
      <c r="A61" s="278"/>
    </row>
    <row r="62" ht="12.75">
      <c r="A62" s="278"/>
    </row>
    <row r="63" ht="12.75">
      <c r="A63" s="278"/>
    </row>
    <row r="64" ht="12.75">
      <c r="A64" s="278"/>
    </row>
    <row r="65" ht="12.75">
      <c r="A65" s="278"/>
    </row>
    <row r="66" ht="12.75">
      <c r="A66" s="278"/>
    </row>
    <row r="67" ht="12.75">
      <c r="A67" s="278"/>
    </row>
    <row r="68" ht="12.75">
      <c r="A68" s="278"/>
    </row>
    <row r="69" ht="12.75">
      <c r="A69" s="278"/>
    </row>
    <row r="70" ht="12.75">
      <c r="A70" s="278"/>
    </row>
  </sheetData>
  <sheetProtection/>
  <mergeCells count="2">
    <mergeCell ref="A3:E3"/>
    <mergeCell ref="A40:E40"/>
  </mergeCells>
  <printOptions horizontalCentered="1"/>
  <pageMargins left="0.7874015748031497" right="0.3937007874015748" top="0.3937007874015748" bottom="0.3937007874015748" header="0" footer="0"/>
  <pageSetup blackAndWhite="1"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69"/>
  <sheetViews>
    <sheetView view="pageBreakPreview" zoomScaleSheetLayoutView="100" zoomScalePageLayoutView="0" workbookViewId="0" topLeftCell="A16">
      <selection activeCell="F58" sqref="F58"/>
    </sheetView>
  </sheetViews>
  <sheetFormatPr defaultColWidth="5.50390625" defaultRowHeight="12.75"/>
  <cols>
    <col min="1" max="1" width="5.125" style="71" customWidth="1"/>
    <col min="2" max="2" width="21.125" style="71" customWidth="1"/>
    <col min="3" max="3" width="38.625" style="71" customWidth="1"/>
    <col min="4" max="4" width="12.875" style="71" customWidth="1"/>
    <col min="5" max="5" width="11.625" style="71" customWidth="1"/>
    <col min="6" max="6" width="14.00390625" style="71" customWidth="1"/>
    <col min="7" max="7" width="15.625" style="71" customWidth="1"/>
    <col min="8" max="16384" width="5.50390625" style="71" customWidth="1"/>
  </cols>
  <sheetData>
    <row r="1" spans="1:7" s="223" customFormat="1" ht="15.75">
      <c r="A1" s="222" t="str">
        <f>+Заполнить!C2</f>
        <v>МУП "Тепловодоснабжение" </v>
      </c>
      <c r="G1" s="63" t="s">
        <v>339</v>
      </c>
    </row>
    <row r="2" ht="12.75">
      <c r="A2" s="70"/>
    </row>
    <row r="3" spans="1:7" ht="15.75">
      <c r="A3" s="462" t="s">
        <v>340</v>
      </c>
      <c r="B3" s="462"/>
      <c r="C3" s="462"/>
      <c r="D3" s="462"/>
      <c r="E3" s="462"/>
      <c r="F3" s="462"/>
      <c r="G3" s="462"/>
    </row>
    <row r="4" spans="1:7" ht="12.75">
      <c r="A4" s="72"/>
      <c r="B4" s="72"/>
      <c r="C4" s="72"/>
      <c r="D4" s="72"/>
      <c r="E4" s="72"/>
      <c r="F4" s="72"/>
      <c r="G4" s="72"/>
    </row>
    <row r="5" spans="1:7" s="74" customFormat="1" ht="33.75">
      <c r="A5" s="73" t="s">
        <v>155</v>
      </c>
      <c r="B5" s="73" t="s">
        <v>91</v>
      </c>
      <c r="C5" s="73" t="s">
        <v>208</v>
      </c>
      <c r="D5" s="73" t="s">
        <v>209</v>
      </c>
      <c r="E5" s="73" t="s">
        <v>210</v>
      </c>
      <c r="F5" s="73" t="s">
        <v>211</v>
      </c>
      <c r="G5" s="73" t="s">
        <v>212</v>
      </c>
    </row>
    <row r="6" spans="1:8" s="76" customFormat="1" ht="12" thickBot="1">
      <c r="A6" s="445" t="s">
        <v>213</v>
      </c>
      <c r="B6" s="446"/>
      <c r="C6" s="446"/>
      <c r="D6" s="446"/>
      <c r="E6" s="446"/>
      <c r="F6" s="446"/>
      <c r="G6" s="459"/>
      <c r="H6" s="75"/>
    </row>
    <row r="7" spans="1:7" s="74" customFormat="1" ht="12" thickBot="1">
      <c r="A7" s="452" t="s">
        <v>214</v>
      </c>
      <c r="B7" s="453" t="s">
        <v>215</v>
      </c>
      <c r="C7" s="460" t="s">
        <v>216</v>
      </c>
      <c r="D7" s="460"/>
      <c r="E7" s="460"/>
      <c r="F7" s="461"/>
      <c r="G7" s="364">
        <f>SUM(G8:G13)</f>
        <v>0</v>
      </c>
    </row>
    <row r="8" spans="1:7" s="74" customFormat="1" ht="11.25">
      <c r="A8" s="452"/>
      <c r="B8" s="453"/>
      <c r="C8" s="360"/>
      <c r="D8" s="360"/>
      <c r="E8" s="360"/>
      <c r="F8" s="360"/>
      <c r="G8" s="361"/>
    </row>
    <row r="9" spans="1:7" s="74" customFormat="1" ht="11.25">
      <c r="A9" s="452"/>
      <c r="B9" s="453"/>
      <c r="C9" s="360"/>
      <c r="D9" s="360"/>
      <c r="E9" s="360"/>
      <c r="F9" s="360"/>
      <c r="G9" s="360"/>
    </row>
    <row r="10" spans="1:7" s="74" customFormat="1" ht="11.25">
      <c r="A10" s="452"/>
      <c r="B10" s="453"/>
      <c r="C10" s="360"/>
      <c r="D10" s="360"/>
      <c r="E10" s="360"/>
      <c r="F10" s="360"/>
      <c r="G10" s="360"/>
    </row>
    <row r="11" spans="1:7" s="74" customFormat="1" ht="11.25">
      <c r="A11" s="452"/>
      <c r="B11" s="453"/>
      <c r="C11" s="360"/>
      <c r="D11" s="360"/>
      <c r="E11" s="360"/>
      <c r="F11" s="360"/>
      <c r="G11" s="360"/>
    </row>
    <row r="12" spans="1:7" s="74" customFormat="1" ht="11.25">
      <c r="A12" s="452"/>
      <c r="B12" s="453"/>
      <c r="C12" s="360"/>
      <c r="D12" s="360"/>
      <c r="E12" s="360"/>
      <c r="F12" s="360"/>
      <c r="G12" s="360"/>
    </row>
    <row r="13" spans="1:7" s="74" customFormat="1" ht="12" thickBot="1">
      <c r="A13" s="452"/>
      <c r="B13" s="453"/>
      <c r="C13" s="360"/>
      <c r="D13" s="362"/>
      <c r="E13" s="362"/>
      <c r="F13" s="362"/>
      <c r="G13" s="362"/>
    </row>
    <row r="14" spans="1:7" s="74" customFormat="1" ht="12" thickBot="1">
      <c r="A14" s="77" t="s">
        <v>217</v>
      </c>
      <c r="B14" s="450" t="s">
        <v>392</v>
      </c>
      <c r="C14" s="450"/>
      <c r="D14" s="450"/>
      <c r="E14" s="450"/>
      <c r="F14" s="451"/>
      <c r="G14" s="363"/>
    </row>
    <row r="15" spans="1:8" s="78" customFormat="1" ht="13.5" thickBot="1">
      <c r="A15" s="445" t="s">
        <v>218</v>
      </c>
      <c r="B15" s="446"/>
      <c r="C15" s="446"/>
      <c r="D15" s="446"/>
      <c r="E15" s="446"/>
      <c r="F15" s="446"/>
      <c r="G15" s="447"/>
      <c r="H15" s="75"/>
    </row>
    <row r="16" spans="1:7" s="74" customFormat="1" ht="12" customHeight="1" thickBot="1">
      <c r="A16" s="452" t="s">
        <v>188</v>
      </c>
      <c r="B16" s="453" t="s">
        <v>215</v>
      </c>
      <c r="C16" s="460" t="s">
        <v>216</v>
      </c>
      <c r="D16" s="460"/>
      <c r="E16" s="460"/>
      <c r="F16" s="461"/>
      <c r="G16" s="364">
        <v>0</v>
      </c>
    </row>
    <row r="17" spans="1:7" s="74" customFormat="1" ht="11.25">
      <c r="A17" s="452"/>
      <c r="B17" s="453"/>
      <c r="C17" s="360"/>
      <c r="D17" s="360"/>
      <c r="E17" s="360"/>
      <c r="F17" s="360"/>
      <c r="G17" s="402"/>
    </row>
    <row r="18" spans="1:7" s="74" customFormat="1" ht="11.25">
      <c r="A18" s="452"/>
      <c r="B18" s="453"/>
      <c r="C18" s="360"/>
      <c r="D18" s="360"/>
      <c r="E18" s="360"/>
      <c r="F18" s="360"/>
      <c r="G18" s="360"/>
    </row>
    <row r="19" spans="1:7" s="74" customFormat="1" ht="11.25">
      <c r="A19" s="452"/>
      <c r="B19" s="453"/>
      <c r="C19" s="360"/>
      <c r="D19" s="360"/>
      <c r="E19" s="360"/>
      <c r="F19" s="360"/>
      <c r="G19" s="360"/>
    </row>
    <row r="20" spans="1:7" s="74" customFormat="1" ht="11.25">
      <c r="A20" s="452"/>
      <c r="B20" s="453"/>
      <c r="C20" s="360"/>
      <c r="D20" s="360"/>
      <c r="E20" s="360"/>
      <c r="F20" s="360"/>
      <c r="G20" s="360"/>
    </row>
    <row r="21" spans="1:7" s="74" customFormat="1" ht="11.25">
      <c r="A21" s="452"/>
      <c r="B21" s="453"/>
      <c r="C21" s="360"/>
      <c r="D21" s="360"/>
      <c r="E21" s="360"/>
      <c r="F21" s="360"/>
      <c r="G21" s="360"/>
    </row>
    <row r="22" spans="1:7" s="74" customFormat="1" ht="12" thickBot="1">
      <c r="A22" s="452"/>
      <c r="B22" s="453"/>
      <c r="C22" s="360"/>
      <c r="D22" s="362"/>
      <c r="E22" s="362"/>
      <c r="F22" s="362"/>
      <c r="G22" s="362"/>
    </row>
    <row r="23" spans="1:7" s="74" customFormat="1" ht="12" customHeight="1" thickBot="1">
      <c r="A23" s="77" t="s">
        <v>189</v>
      </c>
      <c r="B23" s="450" t="s">
        <v>392</v>
      </c>
      <c r="C23" s="450"/>
      <c r="D23" s="450"/>
      <c r="E23" s="450"/>
      <c r="F23" s="451"/>
      <c r="G23" s="363"/>
    </row>
    <row r="24" spans="1:8" s="80" customFormat="1" ht="12" thickBot="1">
      <c r="A24" s="456" t="s">
        <v>219</v>
      </c>
      <c r="B24" s="457"/>
      <c r="C24" s="457"/>
      <c r="D24" s="457"/>
      <c r="E24" s="457"/>
      <c r="F24" s="457"/>
      <c r="G24" s="463"/>
      <c r="H24" s="79"/>
    </row>
    <row r="25" spans="1:7" s="74" customFormat="1" ht="12" thickBot="1">
      <c r="A25" s="452" t="s">
        <v>220</v>
      </c>
      <c r="B25" s="453" t="s">
        <v>215</v>
      </c>
      <c r="C25" s="454" t="s">
        <v>216</v>
      </c>
      <c r="D25" s="454"/>
      <c r="E25" s="454"/>
      <c r="F25" s="455"/>
      <c r="G25" s="364">
        <f>SUM(G26:G31)</f>
        <v>0</v>
      </c>
    </row>
    <row r="26" spans="1:7" s="74" customFormat="1" ht="11.25">
      <c r="A26" s="452"/>
      <c r="B26" s="453"/>
      <c r="C26" s="360"/>
      <c r="D26" s="360"/>
      <c r="E26" s="360"/>
      <c r="F26" s="360"/>
      <c r="G26" s="361"/>
    </row>
    <row r="27" spans="1:7" s="74" customFormat="1" ht="11.25">
      <c r="A27" s="452"/>
      <c r="B27" s="453"/>
      <c r="C27" s="360"/>
      <c r="D27" s="360"/>
      <c r="E27" s="360"/>
      <c r="F27" s="360"/>
      <c r="G27" s="360"/>
    </row>
    <row r="28" spans="1:7" s="74" customFormat="1" ht="11.25">
      <c r="A28" s="452"/>
      <c r="B28" s="453"/>
      <c r="C28" s="360"/>
      <c r="D28" s="360"/>
      <c r="E28" s="360"/>
      <c r="F28" s="360"/>
      <c r="G28" s="360"/>
    </row>
    <row r="29" spans="1:7" s="74" customFormat="1" ht="11.25">
      <c r="A29" s="452"/>
      <c r="B29" s="453"/>
      <c r="C29" s="360"/>
      <c r="D29" s="360"/>
      <c r="E29" s="360"/>
      <c r="F29" s="360"/>
      <c r="G29" s="360"/>
    </row>
    <row r="30" spans="1:7" s="74" customFormat="1" ht="11.25">
      <c r="A30" s="452"/>
      <c r="B30" s="453"/>
      <c r="C30" s="360"/>
      <c r="D30" s="360"/>
      <c r="E30" s="360"/>
      <c r="F30" s="360"/>
      <c r="G30" s="360"/>
    </row>
    <row r="31" spans="1:7" s="74" customFormat="1" ht="12" thickBot="1">
      <c r="A31" s="452"/>
      <c r="B31" s="453"/>
      <c r="C31" s="360"/>
      <c r="D31" s="362"/>
      <c r="E31" s="362"/>
      <c r="F31" s="362"/>
      <c r="G31" s="362"/>
    </row>
    <row r="32" spans="1:7" s="74" customFormat="1" ht="12" customHeight="1" thickBot="1">
      <c r="A32" s="77" t="s">
        <v>221</v>
      </c>
      <c r="B32" s="450" t="s">
        <v>392</v>
      </c>
      <c r="C32" s="450"/>
      <c r="D32" s="450"/>
      <c r="E32" s="450"/>
      <c r="F32" s="451"/>
      <c r="G32" s="363"/>
    </row>
    <row r="33" spans="1:8" s="80" customFormat="1" ht="12" thickBot="1">
      <c r="A33" s="456" t="s">
        <v>222</v>
      </c>
      <c r="B33" s="457"/>
      <c r="C33" s="457"/>
      <c r="D33" s="457"/>
      <c r="E33" s="457"/>
      <c r="F33" s="457"/>
      <c r="G33" s="458"/>
      <c r="H33" s="79"/>
    </row>
    <row r="34" spans="1:7" s="74" customFormat="1" ht="12" thickBot="1">
      <c r="A34" s="452" t="s">
        <v>186</v>
      </c>
      <c r="B34" s="453" t="s">
        <v>215</v>
      </c>
      <c r="C34" s="454" t="s">
        <v>216</v>
      </c>
      <c r="D34" s="454"/>
      <c r="E34" s="454"/>
      <c r="F34" s="455"/>
      <c r="G34" s="364">
        <f>SUM(G35:G40)</f>
        <v>0</v>
      </c>
    </row>
    <row r="35" spans="1:7" s="74" customFormat="1" ht="11.25">
      <c r="A35" s="452"/>
      <c r="B35" s="453"/>
      <c r="C35" s="360"/>
      <c r="D35" s="360"/>
      <c r="E35" s="360"/>
      <c r="F35" s="360"/>
      <c r="G35" s="361"/>
    </row>
    <row r="36" spans="1:7" s="74" customFormat="1" ht="11.25">
      <c r="A36" s="452"/>
      <c r="B36" s="453"/>
      <c r="C36" s="360"/>
      <c r="D36" s="360"/>
      <c r="E36" s="360"/>
      <c r="F36" s="360"/>
      <c r="G36" s="360"/>
    </row>
    <row r="37" spans="1:7" s="74" customFormat="1" ht="11.25">
      <c r="A37" s="452"/>
      <c r="B37" s="453"/>
      <c r="C37" s="360"/>
      <c r="D37" s="360"/>
      <c r="E37" s="360"/>
      <c r="F37" s="360"/>
      <c r="G37" s="360"/>
    </row>
    <row r="38" spans="1:7" s="74" customFormat="1" ht="11.25">
      <c r="A38" s="452"/>
      <c r="B38" s="453"/>
      <c r="C38" s="360"/>
      <c r="D38" s="360"/>
      <c r="E38" s="360"/>
      <c r="F38" s="360"/>
      <c r="G38" s="360"/>
    </row>
    <row r="39" spans="1:7" s="74" customFormat="1" ht="11.25">
      <c r="A39" s="452"/>
      <c r="B39" s="453"/>
      <c r="C39" s="360"/>
      <c r="D39" s="360"/>
      <c r="E39" s="360"/>
      <c r="F39" s="360"/>
      <c r="G39" s="360"/>
    </row>
    <row r="40" spans="1:7" s="74" customFormat="1" ht="12" thickBot="1">
      <c r="A40" s="452"/>
      <c r="B40" s="453"/>
      <c r="C40" s="360"/>
      <c r="D40" s="362"/>
      <c r="E40" s="362"/>
      <c r="F40" s="362"/>
      <c r="G40" s="362"/>
    </row>
    <row r="41" spans="1:7" s="74" customFormat="1" ht="12" customHeight="1" thickBot="1">
      <c r="A41" s="77" t="s">
        <v>187</v>
      </c>
      <c r="B41" s="450" t="s">
        <v>392</v>
      </c>
      <c r="C41" s="450"/>
      <c r="D41" s="450"/>
      <c r="E41" s="450"/>
      <c r="F41" s="451"/>
      <c r="G41" s="363"/>
    </row>
    <row r="42" spans="1:8" s="81" customFormat="1" ht="12" thickBot="1">
      <c r="A42" s="464" t="s">
        <v>223</v>
      </c>
      <c r="B42" s="464"/>
      <c r="C42" s="464"/>
      <c r="D42" s="464"/>
      <c r="E42" s="464"/>
      <c r="F42" s="464"/>
      <c r="G42" s="464"/>
      <c r="H42" s="79"/>
    </row>
    <row r="43" spans="1:7" s="74" customFormat="1" ht="12" thickBot="1">
      <c r="A43" s="452" t="s">
        <v>224</v>
      </c>
      <c r="B43" s="453" t="s">
        <v>215</v>
      </c>
      <c r="C43" s="454" t="s">
        <v>216</v>
      </c>
      <c r="D43" s="454"/>
      <c r="E43" s="454"/>
      <c r="F43" s="455"/>
      <c r="G43" s="364">
        <f>SUM(G44:G49)</f>
        <v>0</v>
      </c>
    </row>
    <row r="44" spans="1:7" s="74" customFormat="1" ht="11.25">
      <c r="A44" s="452"/>
      <c r="B44" s="453"/>
      <c r="C44" s="360"/>
      <c r="D44" s="360"/>
      <c r="E44" s="360"/>
      <c r="F44" s="360"/>
      <c r="G44" s="361"/>
    </row>
    <row r="45" spans="1:7" s="74" customFormat="1" ht="11.25">
      <c r="A45" s="452"/>
      <c r="B45" s="453"/>
      <c r="C45" s="360"/>
      <c r="D45" s="360"/>
      <c r="E45" s="360"/>
      <c r="F45" s="360"/>
      <c r="G45" s="360"/>
    </row>
    <row r="46" spans="1:7" s="74" customFormat="1" ht="11.25">
      <c r="A46" s="452"/>
      <c r="B46" s="453"/>
      <c r="C46" s="360"/>
      <c r="D46" s="360"/>
      <c r="E46" s="360"/>
      <c r="F46" s="360"/>
      <c r="G46" s="360"/>
    </row>
    <row r="47" spans="1:7" s="74" customFormat="1" ht="11.25">
      <c r="A47" s="452"/>
      <c r="B47" s="453"/>
      <c r="C47" s="360"/>
      <c r="D47" s="360"/>
      <c r="E47" s="360"/>
      <c r="F47" s="360"/>
      <c r="G47" s="360"/>
    </row>
    <row r="48" spans="1:7" s="74" customFormat="1" ht="11.25">
      <c r="A48" s="452"/>
      <c r="B48" s="453"/>
      <c r="C48" s="360"/>
      <c r="D48" s="360"/>
      <c r="E48" s="360"/>
      <c r="F48" s="360"/>
      <c r="G48" s="360"/>
    </row>
    <row r="49" spans="1:7" s="74" customFormat="1" ht="12" thickBot="1">
      <c r="A49" s="452"/>
      <c r="B49" s="453"/>
      <c r="C49" s="360"/>
      <c r="D49" s="362"/>
      <c r="E49" s="362"/>
      <c r="F49" s="362"/>
      <c r="G49" s="362"/>
    </row>
    <row r="50" spans="1:7" s="74" customFormat="1" ht="12" customHeight="1" thickBot="1">
      <c r="A50" s="77" t="s">
        <v>225</v>
      </c>
      <c r="B50" s="450" t="s">
        <v>392</v>
      </c>
      <c r="C50" s="450"/>
      <c r="D50" s="450"/>
      <c r="E50" s="450"/>
      <c r="F50" s="451"/>
      <c r="G50" s="363"/>
    </row>
    <row r="51" spans="1:8" s="81" customFormat="1" ht="12" thickBot="1">
      <c r="A51" s="464" t="s">
        <v>226</v>
      </c>
      <c r="B51" s="464"/>
      <c r="C51" s="464"/>
      <c r="D51" s="464"/>
      <c r="E51" s="464"/>
      <c r="F51" s="464"/>
      <c r="G51" s="464"/>
      <c r="H51" s="79"/>
    </row>
    <row r="52" spans="1:7" s="74" customFormat="1" ht="12" thickBot="1">
      <c r="A52" s="452" t="s">
        <v>183</v>
      </c>
      <c r="B52" s="453" t="s">
        <v>215</v>
      </c>
      <c r="C52" s="454" t="s">
        <v>216</v>
      </c>
      <c r="D52" s="454"/>
      <c r="E52" s="454"/>
      <c r="F52" s="455"/>
      <c r="G52" s="364">
        <f>SUM(G53:G58)</f>
        <v>0</v>
      </c>
    </row>
    <row r="53" spans="1:7" s="74" customFormat="1" ht="11.25">
      <c r="A53" s="452"/>
      <c r="B53" s="453"/>
      <c r="C53" s="360"/>
      <c r="D53" s="360"/>
      <c r="E53" s="360"/>
      <c r="F53" s="360"/>
      <c r="G53" s="361"/>
    </row>
    <row r="54" spans="1:7" s="74" customFormat="1" ht="11.25">
      <c r="A54" s="452"/>
      <c r="B54" s="453"/>
      <c r="C54" s="360"/>
      <c r="D54" s="360"/>
      <c r="E54" s="360"/>
      <c r="F54" s="360"/>
      <c r="G54" s="360"/>
    </row>
    <row r="55" spans="1:7" s="74" customFormat="1" ht="11.25">
      <c r="A55" s="452"/>
      <c r="B55" s="453"/>
      <c r="C55" s="360"/>
      <c r="D55" s="360"/>
      <c r="E55" s="360"/>
      <c r="F55" s="360"/>
      <c r="G55" s="360"/>
    </row>
    <row r="56" spans="1:7" s="74" customFormat="1" ht="11.25">
      <c r="A56" s="452"/>
      <c r="B56" s="453"/>
      <c r="C56" s="360"/>
      <c r="D56" s="360"/>
      <c r="E56" s="360"/>
      <c r="F56" s="360"/>
      <c r="G56" s="360"/>
    </row>
    <row r="57" spans="1:7" s="74" customFormat="1" ht="11.25">
      <c r="A57" s="452"/>
      <c r="B57" s="453"/>
      <c r="C57" s="360"/>
      <c r="D57" s="360"/>
      <c r="E57" s="360"/>
      <c r="F57" s="360"/>
      <c r="G57" s="360"/>
    </row>
    <row r="58" spans="1:7" s="74" customFormat="1" ht="12" thickBot="1">
      <c r="A58" s="452"/>
      <c r="B58" s="453"/>
      <c r="C58" s="360"/>
      <c r="D58" s="362"/>
      <c r="E58" s="362"/>
      <c r="F58" s="362"/>
      <c r="G58" s="362"/>
    </row>
    <row r="59" spans="1:7" s="74" customFormat="1" ht="12" customHeight="1" thickBot="1">
      <c r="A59" s="77" t="s">
        <v>184</v>
      </c>
      <c r="B59" s="450" t="s">
        <v>392</v>
      </c>
      <c r="C59" s="450"/>
      <c r="D59" s="450"/>
      <c r="E59" s="450"/>
      <c r="F59" s="451"/>
      <c r="G59" s="363"/>
    </row>
    <row r="60" spans="1:7" s="74" customFormat="1" ht="12" thickBot="1">
      <c r="A60" s="82"/>
      <c r="B60" s="83"/>
      <c r="C60" s="83"/>
      <c r="D60" s="83"/>
      <c r="E60" s="83"/>
      <c r="F60" s="83"/>
      <c r="G60" s="84"/>
    </row>
    <row r="61" spans="1:7" s="74" customFormat="1" ht="12" thickBot="1">
      <c r="A61" s="465"/>
      <c r="B61" s="468" t="s">
        <v>227</v>
      </c>
      <c r="C61" s="471" t="s">
        <v>393</v>
      </c>
      <c r="D61" s="472"/>
      <c r="E61" s="472"/>
      <c r="F61" s="473"/>
      <c r="G61" s="359">
        <v>0</v>
      </c>
    </row>
    <row r="62" spans="1:7" s="74" customFormat="1" ht="12" thickBot="1">
      <c r="A62" s="466"/>
      <c r="B62" s="469"/>
      <c r="C62" s="448" t="s">
        <v>228</v>
      </c>
      <c r="D62" s="448"/>
      <c r="E62" s="448"/>
      <c r="F62" s="449"/>
      <c r="G62" s="359">
        <f>G52+G43+G34+G25+G16+G7</f>
        <v>0</v>
      </c>
    </row>
    <row r="63" spans="1:7" ht="13.5" thickBot="1">
      <c r="A63" s="467"/>
      <c r="B63" s="470"/>
      <c r="C63" s="448" t="s">
        <v>229</v>
      </c>
      <c r="D63" s="448"/>
      <c r="E63" s="448"/>
      <c r="F63" s="449"/>
      <c r="G63" s="359">
        <f>G59+G50+G41+G32+G23+G14</f>
        <v>0</v>
      </c>
    </row>
    <row r="64" spans="1:7" ht="12.75">
      <c r="A64" s="85"/>
      <c r="B64" s="86"/>
      <c r="C64" s="87"/>
      <c r="D64" s="87"/>
      <c r="E64" s="87"/>
      <c r="F64" s="87"/>
      <c r="G64" s="88"/>
    </row>
    <row r="65" spans="1:7" ht="25.5" customHeight="1">
      <c r="A65" s="444" t="s">
        <v>305</v>
      </c>
      <c r="B65" s="444"/>
      <c r="C65" s="444"/>
      <c r="D65" s="444"/>
      <c r="E65" s="444"/>
      <c r="F65" s="444"/>
      <c r="G65" s="444"/>
    </row>
    <row r="66" spans="1:7" ht="12.75">
      <c r="A66" s="103"/>
      <c r="B66" s="103"/>
      <c r="C66" s="103"/>
      <c r="D66" s="103"/>
      <c r="E66" s="103"/>
      <c r="F66" s="103"/>
      <c r="G66" s="103"/>
    </row>
    <row r="67" spans="2:9" ht="15.75">
      <c r="B67" s="169" t="s">
        <v>317</v>
      </c>
      <c r="C67" s="164"/>
      <c r="D67" s="91" t="s">
        <v>400</v>
      </c>
      <c r="E67" s="91"/>
      <c r="F67" s="105"/>
      <c r="G67" s="1"/>
      <c r="H67" s="1"/>
      <c r="I67" s="1"/>
    </row>
    <row r="68" spans="2:9" s="88" customFormat="1" ht="15">
      <c r="B68" s="164" t="s">
        <v>313</v>
      </c>
      <c r="C68" s="172"/>
      <c r="D68" s="93"/>
      <c r="E68" s="92"/>
      <c r="F68" s="92"/>
      <c r="G68" s="92"/>
      <c r="H68" s="92"/>
      <c r="I68" s="1"/>
    </row>
    <row r="69" spans="2:7" s="88" customFormat="1" ht="12.75">
      <c r="B69" s="107"/>
      <c r="C69" s="443"/>
      <c r="D69" s="443"/>
      <c r="E69" s="443"/>
      <c r="F69" s="443"/>
      <c r="G69" s="110"/>
    </row>
  </sheetData>
  <sheetProtection/>
  <mergeCells count="39">
    <mergeCell ref="B59:F59"/>
    <mergeCell ref="C63:F63"/>
    <mergeCell ref="A61:A63"/>
    <mergeCell ref="B61:B63"/>
    <mergeCell ref="C61:F61"/>
    <mergeCell ref="B50:F50"/>
    <mergeCell ref="A51:G51"/>
    <mergeCell ref="A52:A58"/>
    <mergeCell ref="B52:B58"/>
    <mergeCell ref="C52:F52"/>
    <mergeCell ref="A24:G24"/>
    <mergeCell ref="B32:F32"/>
    <mergeCell ref="B41:F41"/>
    <mergeCell ref="A43:A49"/>
    <mergeCell ref="B43:B49"/>
    <mergeCell ref="C43:F43"/>
    <mergeCell ref="A42:G42"/>
    <mergeCell ref="A34:A40"/>
    <mergeCell ref="B34:B40"/>
    <mergeCell ref="C34:F34"/>
    <mergeCell ref="B14:F14"/>
    <mergeCell ref="A6:G6"/>
    <mergeCell ref="A16:A22"/>
    <mergeCell ref="B16:B22"/>
    <mergeCell ref="C16:F16"/>
    <mergeCell ref="A3:G3"/>
    <mergeCell ref="C7:F7"/>
    <mergeCell ref="A7:A13"/>
    <mergeCell ref="B7:B13"/>
    <mergeCell ref="C69:D69"/>
    <mergeCell ref="E69:F69"/>
    <mergeCell ref="A65:G65"/>
    <mergeCell ref="A15:G15"/>
    <mergeCell ref="C62:F62"/>
    <mergeCell ref="B23:F23"/>
    <mergeCell ref="A25:A31"/>
    <mergeCell ref="B25:B31"/>
    <mergeCell ref="C25:F25"/>
    <mergeCell ref="A33:G3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4"/>
  <sheetViews>
    <sheetView tabSelected="1" zoomScale="75" zoomScaleNormal="75" zoomScaleSheetLayoutView="100" zoomScalePageLayoutView="0" workbookViewId="0" topLeftCell="A1">
      <selection activeCell="I35" sqref="I35"/>
    </sheetView>
  </sheetViews>
  <sheetFormatPr defaultColWidth="10.625" defaultRowHeight="12.75"/>
  <cols>
    <col min="1" max="1" width="12.00390625" style="44" customWidth="1"/>
    <col min="2" max="2" width="60.125" style="44" customWidth="1"/>
    <col min="3" max="4" width="15.00390625" style="44" customWidth="1"/>
    <col min="5" max="5" width="18.625" style="44" customWidth="1"/>
    <col min="6" max="7" width="15.125" style="44" customWidth="1"/>
    <col min="8" max="16384" width="10.625" style="44" customWidth="1"/>
  </cols>
  <sheetData>
    <row r="1" spans="1:7" ht="18.75">
      <c r="A1" s="231" t="str">
        <f>+Заполнить!C2</f>
        <v>МУП "Тепловодоснабжение" </v>
      </c>
      <c r="D1" s="45"/>
      <c r="E1" s="481" t="s">
        <v>299</v>
      </c>
      <c r="F1" s="481"/>
      <c r="G1" s="481"/>
    </row>
    <row r="2" spans="2:12" ht="18.75">
      <c r="B2" s="482"/>
      <c r="C2" s="483"/>
      <c r="D2" s="483"/>
      <c r="E2" s="483"/>
      <c r="F2" s="483"/>
      <c r="G2" s="483"/>
      <c r="H2" s="106"/>
      <c r="I2" s="106"/>
      <c r="J2" s="106"/>
      <c r="K2" s="106"/>
      <c r="L2" s="106"/>
    </row>
    <row r="3" spans="1:12" ht="15.75" customHeight="1">
      <c r="A3" s="484" t="s">
        <v>447</v>
      </c>
      <c r="B3" s="484"/>
      <c r="C3" s="484"/>
      <c r="D3" s="484"/>
      <c r="E3" s="484"/>
      <c r="F3" s="484"/>
      <c r="G3" s="484"/>
      <c r="H3" s="118"/>
      <c r="I3" s="118"/>
      <c r="J3" s="118"/>
      <c r="K3" s="118"/>
      <c r="L3" s="118"/>
    </row>
    <row r="4" spans="2:7" ht="15.75">
      <c r="B4" s="46"/>
      <c r="C4" s="47"/>
      <c r="D4" s="47"/>
      <c r="E4" s="47"/>
      <c r="F4" s="47"/>
      <c r="G4" s="47"/>
    </row>
    <row r="5" spans="1:7" ht="15.75">
      <c r="A5" s="407" t="s">
        <v>155</v>
      </c>
      <c r="B5" s="407" t="s">
        <v>0</v>
      </c>
      <c r="C5" s="403" t="s">
        <v>6</v>
      </c>
      <c r="D5" s="403" t="s">
        <v>156</v>
      </c>
      <c r="E5" s="403"/>
      <c r="F5" s="403"/>
      <c r="G5" s="403"/>
    </row>
    <row r="6" spans="1:7" ht="15.75">
      <c r="A6" s="407"/>
      <c r="B6" s="407"/>
      <c r="C6" s="403"/>
      <c r="D6" s="49" t="s">
        <v>4</v>
      </c>
      <c r="E6" s="49" t="s">
        <v>157</v>
      </c>
      <c r="F6" s="49" t="s">
        <v>158</v>
      </c>
      <c r="G6" s="49" t="s">
        <v>5</v>
      </c>
    </row>
    <row r="7" spans="1:7" ht="15.75">
      <c r="A7" s="48">
        <v>1</v>
      </c>
      <c r="B7" s="50" t="s">
        <v>159</v>
      </c>
      <c r="C7" s="51">
        <f>SUM(D7:G7)</f>
        <v>8.62</v>
      </c>
      <c r="D7" s="51">
        <f>D8</f>
        <v>0</v>
      </c>
      <c r="E7" s="51">
        <f>E8+E10</f>
        <v>0</v>
      </c>
      <c r="F7" s="51">
        <f>F8+F10+F11</f>
        <v>8.62</v>
      </c>
      <c r="G7" s="51">
        <f>G8+G12</f>
        <v>0</v>
      </c>
    </row>
    <row r="8" spans="1:7" ht="15.75">
      <c r="A8" s="48">
        <v>2</v>
      </c>
      <c r="B8" s="50" t="s">
        <v>160</v>
      </c>
      <c r="C8" s="52"/>
      <c r="D8" s="51">
        <f>+'1. Баланс'!I9</f>
        <v>0</v>
      </c>
      <c r="E8" s="51">
        <f>+'1. Баланс'!J9</f>
        <v>0</v>
      </c>
      <c r="F8" s="51">
        <f>+'1. Баланс'!K9</f>
        <v>8.62</v>
      </c>
      <c r="G8" s="51">
        <f>+'1. Баланс'!L9</f>
        <v>0</v>
      </c>
    </row>
    <row r="9" spans="1:7" ht="15.75">
      <c r="A9" s="48">
        <v>3</v>
      </c>
      <c r="B9" s="50" t="s">
        <v>161</v>
      </c>
      <c r="C9" s="52"/>
      <c r="D9" s="52"/>
      <c r="E9" s="52"/>
      <c r="F9" s="52"/>
      <c r="G9" s="52"/>
    </row>
    <row r="10" spans="1:7" ht="15.75">
      <c r="A10" s="48">
        <v>4</v>
      </c>
      <c r="B10" s="50" t="s">
        <v>4</v>
      </c>
      <c r="C10" s="52"/>
      <c r="D10" s="52"/>
      <c r="E10" s="51">
        <f>+'1. Баланс'!J11</f>
        <v>0</v>
      </c>
      <c r="F10" s="51">
        <f>+'1. Баланс'!K11</f>
        <v>0</v>
      </c>
      <c r="G10" s="52"/>
    </row>
    <row r="11" spans="1:7" ht="15.75">
      <c r="A11" s="48">
        <v>5</v>
      </c>
      <c r="B11" s="50" t="s">
        <v>157</v>
      </c>
      <c r="C11" s="52"/>
      <c r="D11" s="52"/>
      <c r="E11" s="52"/>
      <c r="F11" s="51">
        <f>+'1. Баланс'!K12</f>
        <v>0</v>
      </c>
      <c r="G11" s="52"/>
    </row>
    <row r="12" spans="1:7" ht="15.75">
      <c r="A12" s="48">
        <v>6</v>
      </c>
      <c r="B12" s="50" t="s">
        <v>158</v>
      </c>
      <c r="C12" s="52"/>
      <c r="D12" s="52"/>
      <c r="E12" s="52"/>
      <c r="F12" s="52"/>
      <c r="G12" s="51">
        <f>+'1. Баланс'!L13</f>
        <v>0</v>
      </c>
    </row>
    <row r="13" spans="1:7" ht="15.75">
      <c r="A13" s="48">
        <v>7</v>
      </c>
      <c r="B13" s="50" t="s">
        <v>162</v>
      </c>
      <c r="C13" s="51">
        <f>SUM(D13:G13)</f>
        <v>1.64</v>
      </c>
      <c r="D13" s="51">
        <f>+'1. Баланс'!I14</f>
        <v>0</v>
      </c>
      <c r="E13" s="51">
        <f>+'1. Баланс'!J14</f>
        <v>0</v>
      </c>
      <c r="F13" s="51">
        <f>+'1. Баланс'!K14</f>
        <v>1.64</v>
      </c>
      <c r="G13" s="51">
        <f>+'1. Баланс'!L14</f>
        <v>0</v>
      </c>
    </row>
    <row r="14" spans="1:7" ht="15.75">
      <c r="A14" s="48">
        <v>8</v>
      </c>
      <c r="B14" s="50" t="s">
        <v>163</v>
      </c>
      <c r="C14" s="53">
        <f>'1. Баланс'!H15</f>
        <v>0.1902552204176334</v>
      </c>
      <c r="D14" s="53">
        <f>+'1. Баланс'!I15</f>
        <v>0</v>
      </c>
      <c r="E14" s="53">
        <f>+'1. Баланс'!J15</f>
        <v>0</v>
      </c>
      <c r="F14" s="53">
        <f>'1. Баланс'!K15</f>
        <v>0.1902552204176334</v>
      </c>
      <c r="G14" s="53">
        <f>+'1. Баланс'!L15</f>
        <v>0</v>
      </c>
    </row>
    <row r="15" spans="1:7" ht="31.5">
      <c r="A15" s="48"/>
      <c r="B15" s="50" t="s">
        <v>256</v>
      </c>
      <c r="C15" s="53">
        <f>+'1. Баланс'!H16</f>
        <v>0</v>
      </c>
      <c r="D15" s="53">
        <f>+'1. Баланс'!I16</f>
        <v>0</v>
      </c>
      <c r="E15" s="53">
        <f>+'1. Баланс'!J16</f>
        <v>0</v>
      </c>
      <c r="F15" s="53">
        <f>+'1. Баланс'!K16</f>
        <v>0</v>
      </c>
      <c r="G15" s="53">
        <f>+'1. Баланс'!L16</f>
        <v>0</v>
      </c>
    </row>
    <row r="16" spans="1:7" ht="15.75">
      <c r="A16" s="48">
        <v>9</v>
      </c>
      <c r="B16" s="50" t="s">
        <v>164</v>
      </c>
      <c r="C16" s="51">
        <f>SUM(D16:G16)</f>
        <v>6.98</v>
      </c>
      <c r="D16" s="51">
        <f>ROUND(D7*(1-D14)-E10-F10,2)</f>
        <v>0</v>
      </c>
      <c r="E16" s="51">
        <f>ROUND(E7*(1-E14)-F11-E15,2)</f>
        <v>0</v>
      </c>
      <c r="F16" s="51">
        <f>ROUND(F7*(1-F14)-G12-F15,2)</f>
        <v>6.98</v>
      </c>
      <c r="G16" s="51">
        <f>ROUND(G7-G13-G15,2)</f>
        <v>0</v>
      </c>
    </row>
    <row r="17" spans="1:7" ht="15.75">
      <c r="A17" s="48">
        <v>10</v>
      </c>
      <c r="B17" s="50" t="s">
        <v>165</v>
      </c>
      <c r="C17" s="51">
        <f>F17+G17</f>
        <v>40.1</v>
      </c>
      <c r="D17" s="51">
        <f>D18</f>
        <v>0</v>
      </c>
      <c r="E17" s="51">
        <f>E18+E20</f>
        <v>0</v>
      </c>
      <c r="F17" s="51">
        <f>'1. Баланс'!K22</f>
        <v>40.1</v>
      </c>
      <c r="G17" s="51">
        <f>'1. Баланс'!L22</f>
        <v>0</v>
      </c>
    </row>
    <row r="18" spans="1:7" ht="15.75">
      <c r="A18" s="48">
        <v>11</v>
      </c>
      <c r="B18" s="50" t="s">
        <v>160</v>
      </c>
      <c r="C18" s="52"/>
      <c r="D18" s="51">
        <f>+'1. Баланс'!I23</f>
        <v>0</v>
      </c>
      <c r="E18" s="51">
        <f>+'1. Баланс'!J23</f>
        <v>0</v>
      </c>
      <c r="F18" s="51">
        <f>+'1. Баланс'!K23</f>
        <v>0</v>
      </c>
      <c r="G18" s="51">
        <f>+'1. Баланс'!L23</f>
        <v>0</v>
      </c>
    </row>
    <row r="19" spans="1:7" ht="15.75">
      <c r="A19" s="48">
        <v>12</v>
      </c>
      <c r="B19" s="50" t="s">
        <v>161</v>
      </c>
      <c r="C19" s="52"/>
      <c r="D19" s="52"/>
      <c r="E19" s="52"/>
      <c r="F19" s="52"/>
      <c r="G19" s="52"/>
    </row>
    <row r="20" spans="1:7" ht="15.75">
      <c r="A20" s="48">
        <v>13</v>
      </c>
      <c r="B20" s="50" t="s">
        <v>4</v>
      </c>
      <c r="C20" s="52"/>
      <c r="D20" s="52"/>
      <c r="E20" s="51">
        <f>+'1. Баланс'!J25</f>
        <v>0</v>
      </c>
      <c r="F20" s="51">
        <f>+'1. Баланс'!K25</f>
        <v>0</v>
      </c>
      <c r="G20" s="52"/>
    </row>
    <row r="21" spans="1:7" ht="15.75">
      <c r="A21" s="48">
        <v>14</v>
      </c>
      <c r="B21" s="50" t="s">
        <v>157</v>
      </c>
      <c r="C21" s="52"/>
      <c r="D21" s="52"/>
      <c r="E21" s="52"/>
      <c r="F21" s="51">
        <f>+'1. Баланс'!K26</f>
        <v>0</v>
      </c>
      <c r="G21" s="52"/>
    </row>
    <row r="22" spans="1:7" ht="15.75">
      <c r="A22" s="48">
        <v>15</v>
      </c>
      <c r="B22" s="50" t="s">
        <v>158</v>
      </c>
      <c r="C22" s="52"/>
      <c r="D22" s="52"/>
      <c r="E22" s="52"/>
      <c r="F22" s="52"/>
      <c r="G22" s="51">
        <f>+'1. Баланс'!L27</f>
        <v>0</v>
      </c>
    </row>
    <row r="23" spans="1:8" ht="15.75">
      <c r="A23" s="48">
        <v>16</v>
      </c>
      <c r="B23" s="50" t="s">
        <v>166</v>
      </c>
      <c r="C23" s="51">
        <f>D23+E23+F23+G23</f>
        <v>7.74</v>
      </c>
      <c r="D23" s="51">
        <f>+'1. Баланс'!I28</f>
        <v>0</v>
      </c>
      <c r="E23" s="51">
        <f>+'1. Баланс'!J28</f>
        <v>0</v>
      </c>
      <c r="F23" s="51">
        <f>+'1. Баланс'!K28</f>
        <v>2.53</v>
      </c>
      <c r="G23" s="51">
        <f>+'1. Баланс'!L28</f>
        <v>5.21</v>
      </c>
      <c r="H23" s="65"/>
    </row>
    <row r="24" spans="1:7" ht="15.75">
      <c r="A24" s="48">
        <v>17</v>
      </c>
      <c r="B24" s="50" t="s">
        <v>167</v>
      </c>
      <c r="C24" s="53">
        <f>+'1. Баланс'!H29</f>
        <v>0.19301745635910225</v>
      </c>
      <c r="D24" s="53">
        <f>+'1. Баланс'!I29</f>
        <v>0</v>
      </c>
      <c r="E24" s="53">
        <f>+'1. Баланс'!J29</f>
        <v>0</v>
      </c>
      <c r="F24" s="53">
        <f>+'1. Баланс'!K29</f>
        <v>0.06309226932668328</v>
      </c>
      <c r="G24" s="53">
        <f>+'1. Баланс'!L29</f>
        <v>0</v>
      </c>
    </row>
    <row r="25" spans="1:7" ht="31.5">
      <c r="A25" s="48"/>
      <c r="B25" s="50" t="s">
        <v>257</v>
      </c>
      <c r="C25" s="53">
        <f>+'1. Баланс'!H30</f>
        <v>0</v>
      </c>
      <c r="D25" s="53">
        <f>+'1. Баланс'!I30</f>
        <v>0</v>
      </c>
      <c r="E25" s="53">
        <f>+'1. Баланс'!J30</f>
        <v>0</v>
      </c>
      <c r="F25" s="53">
        <f>+'1. Баланс'!K30</f>
        <v>0</v>
      </c>
      <c r="G25" s="53">
        <f>+'1. Баланс'!L30</f>
        <v>0</v>
      </c>
    </row>
    <row r="26" spans="1:7" ht="15.75">
      <c r="A26" s="48">
        <v>18</v>
      </c>
      <c r="B26" s="50" t="s">
        <v>168</v>
      </c>
      <c r="C26" s="51">
        <f>ROUND(D26+E26+F26+G26,2)</f>
        <v>32.36</v>
      </c>
      <c r="D26" s="51">
        <f>ROUND(D17*(1-D24)-E20-F20,2)</f>
        <v>0</v>
      </c>
      <c r="E26" s="51">
        <f>ROUND(E17*(1-E24)-F21,2)</f>
        <v>0</v>
      </c>
      <c r="F26" s="51">
        <f>ROUND(F17*(1-F24)-G22,2)</f>
        <v>37.57</v>
      </c>
      <c r="G26" s="51">
        <f>ROUND(G17-G23,2)</f>
        <v>-5.21</v>
      </c>
    </row>
    <row r="27" spans="1:7" ht="15.75">
      <c r="A27" s="48">
        <v>19</v>
      </c>
      <c r="B27" s="50" t="s">
        <v>169</v>
      </c>
      <c r="C27" s="54">
        <f>+IF(C16&gt;0,C26*1000/C16,0)</f>
        <v>4636.103151862464</v>
      </c>
      <c r="D27" s="54">
        <f>+IF(D16&gt;0,D26*1000/D16,0)</f>
        <v>0</v>
      </c>
      <c r="E27" s="54">
        <f>+IF(E16&gt;0,E26*1000/E16,0)</f>
        <v>0</v>
      </c>
      <c r="F27" s="54">
        <f>+IF(F16&gt;0,F26*1000/F16,0)</f>
        <v>5382.521489971346</v>
      </c>
      <c r="G27" s="54">
        <f>+IF(G16&gt;0,G26*1000/G16,0)</f>
        <v>0</v>
      </c>
    </row>
    <row r="28" spans="1:7" ht="15.75">
      <c r="A28" s="48"/>
      <c r="B28" s="50"/>
      <c r="C28" s="55"/>
      <c r="D28" s="55"/>
      <c r="E28" s="55"/>
      <c r="F28" s="55"/>
      <c r="G28" s="55"/>
    </row>
    <row r="29" spans="1:7" ht="15.75">
      <c r="A29" s="48">
        <v>20</v>
      </c>
      <c r="B29" s="50" t="s">
        <v>170</v>
      </c>
      <c r="C29" s="51">
        <f>D29+E29+F29+G29</f>
        <v>30817.13782800671</v>
      </c>
      <c r="D29" s="51">
        <f>'9. Прибыль'!E37+'6. Калькуляция'!E35</f>
        <v>0</v>
      </c>
      <c r="E29" s="51">
        <f>'9. Прибыль'!E38+'6. Калькуляция'!E36</f>
        <v>850.053777061522</v>
      </c>
      <c r="F29" s="51">
        <f>'9. Прибыль'!E39+'6. Калькуляция'!E37</f>
        <v>18908.97401863519</v>
      </c>
      <c r="G29" s="51">
        <f>'9. Прибыль'!E40+'6. Калькуляция'!E38</f>
        <v>11058.11003231</v>
      </c>
    </row>
    <row r="30" spans="1:7" ht="15.75">
      <c r="A30" s="48"/>
      <c r="B30" s="50"/>
      <c r="C30" s="53">
        <f>D30+E30+F30+G30</f>
        <v>1</v>
      </c>
      <c r="D30" s="53">
        <f>D29/$C$29</f>
        <v>0</v>
      </c>
      <c r="E30" s="53">
        <f>E29/$C$29</f>
        <v>0.027583800345306258</v>
      </c>
      <c r="F30" s="53">
        <f>F29/$C$29</f>
        <v>0.6135863143478124</v>
      </c>
      <c r="G30" s="53">
        <f>G29/$C$29</f>
        <v>0.35882988530688126</v>
      </c>
    </row>
    <row r="31" spans="1:7" ht="15.75">
      <c r="A31" s="48">
        <v>21</v>
      </c>
      <c r="B31" s="50" t="s">
        <v>171</v>
      </c>
      <c r="C31" s="56">
        <f>D31+E31+F31+G31</f>
        <v>1667</v>
      </c>
      <c r="D31" s="370">
        <f>'П2.1'!G14+'П2.2'!G30</f>
        <v>0</v>
      </c>
      <c r="E31" s="370">
        <f>'П2.1'!G26+'П2.2'!G31</f>
        <v>49.5</v>
      </c>
      <c r="F31" s="370">
        <f>'П2.2'!G32</f>
        <v>1101.1</v>
      </c>
      <c r="G31" s="370">
        <f>'П2.1'!G27+'П2.1'!G32</f>
        <v>516.4</v>
      </c>
    </row>
    <row r="32" spans="1:7" ht="15.75">
      <c r="A32" s="48"/>
      <c r="B32" s="50"/>
      <c r="C32" s="53">
        <f>D32+E32+F32+G32</f>
        <v>0.9999999999999999</v>
      </c>
      <c r="D32" s="53">
        <f>D31/$C$31</f>
        <v>0</v>
      </c>
      <c r="E32" s="53">
        <f>E31/$C$31</f>
        <v>0.02969406118776245</v>
      </c>
      <c r="F32" s="53">
        <f>F31/$C$31</f>
        <v>0.6605278944211157</v>
      </c>
      <c r="G32" s="53">
        <f>G31/$C$31</f>
        <v>0.3097780443911218</v>
      </c>
    </row>
    <row r="33" spans="1:7" ht="15.75">
      <c r="A33" s="48"/>
      <c r="B33" s="50"/>
      <c r="C33" s="57"/>
      <c r="D33" s="57"/>
      <c r="E33" s="57"/>
      <c r="F33" s="57"/>
      <c r="G33" s="57"/>
    </row>
    <row r="34" spans="1:7" ht="15.75">
      <c r="A34" s="48">
        <v>22</v>
      </c>
      <c r="B34" s="50" t="s">
        <v>300</v>
      </c>
      <c r="C34" s="51">
        <f>+D29-D38*D16*0.012</f>
        <v>0</v>
      </c>
      <c r="D34" s="58"/>
      <c r="E34" s="51" t="e">
        <f>++C31*(E7-E8)/(E7+F10-E8)</f>
        <v>#DIV/0!</v>
      </c>
      <c r="F34" s="51" t="e">
        <f>C34-E34</f>
        <v>#DIV/0!</v>
      </c>
      <c r="G34" s="58"/>
    </row>
    <row r="35" spans="1:7" ht="15.75">
      <c r="A35" s="48">
        <v>23</v>
      </c>
      <c r="B35" s="50" t="s">
        <v>301</v>
      </c>
      <c r="C35" s="58"/>
      <c r="D35" s="58"/>
      <c r="E35" s="58"/>
      <c r="F35" s="51" t="e">
        <f>ROUND(E29+E34-(E38*E16*12)/1000,2)</f>
        <v>#DIV/0!</v>
      </c>
      <c r="G35" s="58"/>
    </row>
    <row r="36" spans="1:7" ht="15.75">
      <c r="A36" s="48">
        <v>24</v>
      </c>
      <c r="B36" s="50" t="s">
        <v>302</v>
      </c>
      <c r="C36" s="58"/>
      <c r="D36" s="58"/>
      <c r="E36" s="58"/>
      <c r="F36" s="58"/>
      <c r="G36" s="51" t="e">
        <f>((F35+F34+F29)*1000-F38*F16*12)/1000</f>
        <v>#DIV/0!</v>
      </c>
    </row>
    <row r="37" spans="1:7" ht="15.75">
      <c r="A37" s="48"/>
      <c r="B37" s="50"/>
      <c r="C37" s="58"/>
      <c r="D37" s="58"/>
      <c r="E37" s="58"/>
      <c r="F37" s="58"/>
      <c r="G37" s="58"/>
    </row>
    <row r="38" spans="1:7" ht="15.75">
      <c r="A38" s="115">
        <v>25</v>
      </c>
      <c r="B38" s="116" t="s">
        <v>303</v>
      </c>
      <c r="C38" s="51">
        <v>301721</v>
      </c>
      <c r="D38" s="51">
        <f>+IF(D7&gt;0,D29*1000/(D7*(1-D13)*12),0)</f>
        <v>0</v>
      </c>
      <c r="E38" s="51">
        <f>+IF(D7&gt;0,(E29+E34)*1000/(E7*(100-E14)*12),0)</f>
        <v>0</v>
      </c>
      <c r="F38" s="51">
        <f>IF(D7&gt;0,(F35+F34+F29)*1000/(F7*(1-F14)*12),0)</f>
        <v>0</v>
      </c>
      <c r="G38" s="51">
        <f>IF(D7&gt;0,(G36+G29)*1000/(G7*(1-G14)*12),0)</f>
        <v>0</v>
      </c>
    </row>
    <row r="39" spans="1:7" ht="15.75">
      <c r="A39" s="98">
        <v>26</v>
      </c>
      <c r="B39" s="99" t="s">
        <v>304</v>
      </c>
      <c r="C39" s="134">
        <f>ROUND((D39*D26+E39*E26+F39*F26+G39*G26)/C26,2)</f>
        <v>0</v>
      </c>
      <c r="D39" s="134">
        <f>+IF(D27&gt;0,D38*12*0.1/D27,0)</f>
        <v>0</v>
      </c>
      <c r="E39" s="134">
        <f>+IF(E27&gt;0,E38*12*0.1/E27,0)</f>
        <v>0</v>
      </c>
      <c r="F39" s="134">
        <f>+IF(F27&gt;0,F38*12*0.1/F27,0)</f>
        <v>0</v>
      </c>
      <c r="G39" s="134">
        <f>+IF(G27&gt;0,G38*12*0.1/G27,0)</f>
        <v>0</v>
      </c>
    </row>
    <row r="40" spans="1:7" ht="15.75">
      <c r="A40" s="95"/>
      <c r="B40" s="96" t="s">
        <v>259</v>
      </c>
      <c r="C40" s="97"/>
      <c r="D40" s="97"/>
      <c r="E40" s="97"/>
      <c r="F40" s="117"/>
      <c r="G40" s="117"/>
    </row>
    <row r="41" spans="2:13" ht="12.75">
      <c r="B41" s="59"/>
      <c r="E41" s="68"/>
      <c r="F41" s="100"/>
      <c r="G41" s="100"/>
      <c r="H41" s="100"/>
      <c r="I41" s="100"/>
      <c r="J41" s="100"/>
      <c r="K41" s="100"/>
      <c r="L41" s="100"/>
      <c r="M41" s="100"/>
    </row>
    <row r="42" spans="2:5" s="100" customFormat="1" ht="12.75">
      <c r="B42" s="101"/>
      <c r="C42" s="102"/>
      <c r="E42" s="68"/>
    </row>
    <row r="43" spans="2:5" s="100" customFormat="1" ht="12.75">
      <c r="B43" s="101"/>
      <c r="C43" s="102"/>
      <c r="E43" s="68"/>
    </row>
    <row r="44" spans="1:6" s="100" customFormat="1" ht="15">
      <c r="A44" s="169"/>
      <c r="B44" s="164"/>
      <c r="C44" s="169"/>
      <c r="D44" s="109"/>
      <c r="E44" s="60"/>
      <c r="F44" s="60"/>
    </row>
    <row r="45" spans="2:7" s="100" customFormat="1" ht="18.75">
      <c r="B45" s="227" t="s">
        <v>317</v>
      </c>
      <c r="C45" s="227"/>
      <c r="D45" s="229" t="s">
        <v>400</v>
      </c>
      <c r="E45" s="224"/>
      <c r="F45" s="225"/>
      <c r="G45" s="226"/>
    </row>
    <row r="46" spans="2:7" s="100" customFormat="1" ht="18.75">
      <c r="B46" s="228" t="s">
        <v>313</v>
      </c>
      <c r="C46" s="230"/>
      <c r="D46" s="229"/>
      <c r="E46" s="224"/>
      <c r="F46" s="225"/>
      <c r="G46" s="226"/>
    </row>
    <row r="47" spans="1:7" ht="15.75">
      <c r="A47" s="476" t="s">
        <v>172</v>
      </c>
      <c r="B47" s="477"/>
      <c r="C47" s="477"/>
      <c r="D47" s="477"/>
      <c r="E47" s="477"/>
      <c r="F47" s="477"/>
      <c r="G47" s="477"/>
    </row>
    <row r="48" spans="1:7" ht="15.75">
      <c r="A48" s="478" t="s">
        <v>173</v>
      </c>
      <c r="B48" s="478"/>
      <c r="C48" s="478"/>
      <c r="D48" s="478"/>
      <c r="E48" s="478"/>
      <c r="F48" s="478"/>
      <c r="G48" s="478"/>
    </row>
    <row r="49" spans="1:7" ht="13.5">
      <c r="A49" s="474" t="s">
        <v>174</v>
      </c>
      <c r="B49" s="479"/>
      <c r="C49" s="479"/>
      <c r="D49" s="479"/>
      <c r="E49" s="479"/>
      <c r="F49" s="479"/>
      <c r="G49" s="479"/>
    </row>
    <row r="50" spans="1:7" ht="13.5">
      <c r="A50" s="478" t="s">
        <v>175</v>
      </c>
      <c r="B50" s="480"/>
      <c r="C50" s="480"/>
      <c r="D50" s="480"/>
      <c r="E50" s="480"/>
      <c r="F50" s="480"/>
      <c r="G50" s="480"/>
    </row>
    <row r="51" spans="1:7" ht="13.5">
      <c r="A51" s="474" t="s">
        <v>176</v>
      </c>
      <c r="B51" s="475"/>
      <c r="C51" s="475"/>
      <c r="D51" s="475"/>
      <c r="E51" s="475"/>
      <c r="F51" s="475"/>
      <c r="G51" s="475"/>
    </row>
    <row r="52" spans="1:7" ht="15.75">
      <c r="A52" s="43"/>
      <c r="B52" s="114"/>
      <c r="C52" s="109"/>
      <c r="D52" s="109"/>
      <c r="E52" s="60"/>
      <c r="F52" s="60"/>
      <c r="G52" s="60"/>
    </row>
    <row r="53" spans="2:5" s="100" customFormat="1" ht="12.75">
      <c r="B53" s="101" t="s">
        <v>250</v>
      </c>
      <c r="C53" s="102">
        <f>+(G39*G26+F26*F39+E39*E26+D26*D39)*1000/100-C29</f>
        <v>-30817.13782800671</v>
      </c>
      <c r="E53" s="68"/>
    </row>
    <row r="54" spans="2:5" s="100" customFormat="1" ht="25.5">
      <c r="B54" s="101" t="s">
        <v>251</v>
      </c>
      <c r="C54" s="102" t="e">
        <f>+C23*113.93-(#REF!*D26+E26*#REF!+#REF!*F26+G26*#REF!)</f>
        <v>#REF!</v>
      </c>
      <c r="E54" s="68"/>
    </row>
  </sheetData>
  <sheetProtection/>
  <mergeCells count="12">
    <mergeCell ref="E1:G1"/>
    <mergeCell ref="B2:G2"/>
    <mergeCell ref="A3:G3"/>
    <mergeCell ref="A5:A6"/>
    <mergeCell ref="B5:B6"/>
    <mergeCell ref="C5:C6"/>
    <mergeCell ref="A51:G51"/>
    <mergeCell ref="A47:G47"/>
    <mergeCell ref="A48:G48"/>
    <mergeCell ref="A49:G49"/>
    <mergeCell ref="A50:G50"/>
    <mergeCell ref="D5:G5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H49"/>
  <sheetViews>
    <sheetView showGridLines="0" view="pageBreakPreview" zoomScale="115" zoomScaleNormal="75" zoomScaleSheetLayoutView="115" zoomScalePageLayoutView="0" workbookViewId="0" topLeftCell="A7">
      <selection activeCell="G28" sqref="G28"/>
    </sheetView>
  </sheetViews>
  <sheetFormatPr defaultColWidth="9.00390625" defaultRowHeight="12.75"/>
  <cols>
    <col min="2" max="2" width="14.125" style="0" customWidth="1"/>
    <col min="3" max="4" width="12.625" style="0" customWidth="1"/>
    <col min="5" max="5" width="13.875" style="0" customWidth="1"/>
    <col min="6" max="6" width="15.625" style="0" customWidth="1"/>
    <col min="7" max="7" width="16.375" style="0" customWidth="1"/>
    <col min="10" max="10" width="6.875" style="0" customWidth="1"/>
  </cols>
  <sheetData>
    <row r="1" spans="1:8" ht="15.75">
      <c r="A1" s="125"/>
      <c r="E1" s="1"/>
      <c r="G1" s="8" t="s">
        <v>383</v>
      </c>
      <c r="H1" s="33"/>
    </row>
    <row r="2" ht="12.75">
      <c r="G2" s="8"/>
    </row>
    <row r="3" spans="1:7" ht="45" customHeight="1">
      <c r="A3" s="386" t="s">
        <v>345</v>
      </c>
      <c r="B3" s="386"/>
      <c r="C3" s="386"/>
      <c r="D3" s="386"/>
      <c r="E3" s="386"/>
      <c r="F3" s="386"/>
      <c r="G3" s="386"/>
    </row>
    <row r="5" spans="1:7" ht="63.75">
      <c r="A5" s="240"/>
      <c r="B5" s="236" t="s">
        <v>123</v>
      </c>
      <c r="C5" s="236" t="s">
        <v>124</v>
      </c>
      <c r="D5" s="236" t="s">
        <v>125</v>
      </c>
      <c r="E5" s="237" t="s">
        <v>126</v>
      </c>
      <c r="F5" s="237" t="s">
        <v>127</v>
      </c>
      <c r="G5" s="237" t="s">
        <v>128</v>
      </c>
    </row>
    <row r="6" spans="1:7" ht="12.75">
      <c r="A6" s="389"/>
      <c r="B6" s="385"/>
      <c r="C6" s="385"/>
      <c r="D6" s="385"/>
      <c r="E6" s="237" t="s">
        <v>129</v>
      </c>
      <c r="F6" s="237" t="s">
        <v>9</v>
      </c>
      <c r="G6" s="237" t="s">
        <v>130</v>
      </c>
    </row>
    <row r="7" spans="1:7" ht="12.75">
      <c r="A7" s="237">
        <v>1</v>
      </c>
      <c r="B7" s="237">
        <v>2</v>
      </c>
      <c r="C7" s="237">
        <v>3</v>
      </c>
      <c r="D7" s="237">
        <v>4</v>
      </c>
      <c r="E7" s="237">
        <v>5</v>
      </c>
      <c r="F7" s="237">
        <v>6</v>
      </c>
      <c r="G7" s="237" t="s">
        <v>131</v>
      </c>
    </row>
    <row r="8" spans="1:7" ht="12.75">
      <c r="A8" s="240" t="s">
        <v>77</v>
      </c>
      <c r="B8" s="240" t="s">
        <v>135</v>
      </c>
      <c r="C8" s="238">
        <v>1</v>
      </c>
      <c r="D8" s="237" t="s">
        <v>134</v>
      </c>
      <c r="E8" s="238">
        <v>180</v>
      </c>
      <c r="F8" s="245"/>
      <c r="G8" s="239">
        <v>0</v>
      </c>
    </row>
    <row r="9" spans="1:7" ht="12.75">
      <c r="A9" s="388"/>
      <c r="B9" s="388"/>
      <c r="C9" s="238"/>
      <c r="D9" s="237" t="s">
        <v>132</v>
      </c>
      <c r="E9" s="238">
        <v>160</v>
      </c>
      <c r="F9" s="245"/>
      <c r="G9" s="239">
        <v>0</v>
      </c>
    </row>
    <row r="10" spans="1:7" ht="12.75">
      <c r="A10" s="388"/>
      <c r="B10" s="388"/>
      <c r="C10" s="238"/>
      <c r="D10" s="237" t="s">
        <v>133</v>
      </c>
      <c r="E10" s="238">
        <v>130</v>
      </c>
      <c r="F10" s="245"/>
      <c r="G10" s="239">
        <v>0</v>
      </c>
    </row>
    <row r="11" spans="1:7" ht="12.75">
      <c r="A11" s="388"/>
      <c r="B11" s="388"/>
      <c r="C11" s="238">
        <v>2</v>
      </c>
      <c r="D11" s="237" t="s">
        <v>132</v>
      </c>
      <c r="E11" s="238">
        <v>190</v>
      </c>
      <c r="F11" s="245"/>
      <c r="G11" s="239">
        <v>0</v>
      </c>
    </row>
    <row r="12" spans="1:7" ht="12.75">
      <c r="A12" s="389"/>
      <c r="B12" s="389"/>
      <c r="C12" s="238"/>
      <c r="D12" s="237" t="s">
        <v>133</v>
      </c>
      <c r="E12" s="238">
        <v>160</v>
      </c>
      <c r="F12" s="245"/>
      <c r="G12" s="239">
        <v>0</v>
      </c>
    </row>
    <row r="13" spans="1:7" ht="12.75">
      <c r="A13" s="238" t="s">
        <v>78</v>
      </c>
      <c r="B13" s="238">
        <v>110</v>
      </c>
      <c r="C13" s="237" t="s">
        <v>122</v>
      </c>
      <c r="D13" s="237" t="s">
        <v>122</v>
      </c>
      <c r="E13" s="238">
        <v>2300</v>
      </c>
      <c r="F13" s="245"/>
      <c r="G13" s="239">
        <v>0</v>
      </c>
    </row>
    <row r="14" spans="1:7" ht="12.75">
      <c r="A14" s="381" t="s">
        <v>136</v>
      </c>
      <c r="B14" s="382"/>
      <c r="C14" s="382"/>
      <c r="D14" s="382"/>
      <c r="E14" s="382"/>
      <c r="F14" s="383"/>
      <c r="G14" s="239">
        <v>0</v>
      </c>
    </row>
    <row r="15" spans="1:7" ht="12.75">
      <c r="A15" s="237" t="s">
        <v>77</v>
      </c>
      <c r="B15" s="236">
        <v>35</v>
      </c>
      <c r="C15" s="237">
        <v>1</v>
      </c>
      <c r="D15" s="237" t="s">
        <v>134</v>
      </c>
      <c r="E15" s="238">
        <v>170</v>
      </c>
      <c r="F15" s="245"/>
      <c r="G15" s="239">
        <v>0</v>
      </c>
    </row>
    <row r="16" spans="1:7" ht="12.75">
      <c r="A16" s="237"/>
      <c r="B16" s="384"/>
      <c r="C16" s="237"/>
      <c r="D16" s="237" t="s">
        <v>132</v>
      </c>
      <c r="E16" s="238">
        <v>140</v>
      </c>
      <c r="F16" s="245"/>
      <c r="G16" s="239">
        <v>0</v>
      </c>
    </row>
    <row r="17" spans="1:7" ht="12.75">
      <c r="A17" s="237"/>
      <c r="B17" s="384"/>
      <c r="C17" s="237"/>
      <c r="D17" s="237" t="s">
        <v>133</v>
      </c>
      <c r="E17" s="238">
        <v>120</v>
      </c>
      <c r="F17" s="245"/>
      <c r="G17" s="239">
        <v>0</v>
      </c>
    </row>
    <row r="18" spans="1:7" ht="12.75">
      <c r="A18" s="237"/>
      <c r="B18" s="384"/>
      <c r="C18" s="237">
        <v>2</v>
      </c>
      <c r="D18" s="237" t="s">
        <v>132</v>
      </c>
      <c r="E18" s="238">
        <v>180</v>
      </c>
      <c r="F18" s="245"/>
      <c r="G18" s="239">
        <v>0</v>
      </c>
    </row>
    <row r="19" spans="1:7" ht="12.75">
      <c r="A19" s="237"/>
      <c r="B19" s="385"/>
      <c r="C19" s="237"/>
      <c r="D19" s="237" t="s">
        <v>133</v>
      </c>
      <c r="E19" s="238">
        <v>150</v>
      </c>
      <c r="F19" s="245"/>
      <c r="G19" s="239">
        <v>0</v>
      </c>
    </row>
    <row r="20" spans="1:7" ht="12.75">
      <c r="A20" s="237"/>
      <c r="B20" s="241" t="s">
        <v>137</v>
      </c>
      <c r="C20" s="237" t="s">
        <v>122</v>
      </c>
      <c r="D20" s="238" t="s">
        <v>134</v>
      </c>
      <c r="E20" s="238">
        <v>160</v>
      </c>
      <c r="F20" s="245"/>
      <c r="G20" s="239">
        <v>0</v>
      </c>
    </row>
    <row r="21" spans="1:7" ht="38.25">
      <c r="A21" s="237"/>
      <c r="B21" s="241"/>
      <c r="C21" s="237"/>
      <c r="D21" s="237" t="s">
        <v>138</v>
      </c>
      <c r="E21" s="238">
        <v>140</v>
      </c>
      <c r="F21" s="245"/>
      <c r="G21" s="239">
        <v>0</v>
      </c>
    </row>
    <row r="22" spans="1:7" ht="25.5">
      <c r="A22" s="237"/>
      <c r="B22" s="241"/>
      <c r="C22" s="237"/>
      <c r="D22" s="237" t="s">
        <v>139</v>
      </c>
      <c r="E22" s="238">
        <v>110</v>
      </c>
      <c r="F22" s="245">
        <v>43</v>
      </c>
      <c r="G22" s="239">
        <v>47.3</v>
      </c>
    </row>
    <row r="23" spans="1:7" ht="12.75">
      <c r="A23" s="238" t="s">
        <v>78</v>
      </c>
      <c r="B23" s="238" t="s">
        <v>140</v>
      </c>
      <c r="C23" s="237" t="s">
        <v>122</v>
      </c>
      <c r="D23" s="237" t="s">
        <v>122</v>
      </c>
      <c r="E23" s="238">
        <v>470</v>
      </c>
      <c r="F23" s="245"/>
      <c r="G23" s="239">
        <v>0</v>
      </c>
    </row>
    <row r="24" spans="1:7" ht="12.75">
      <c r="A24" s="240"/>
      <c r="B24" s="240" t="s">
        <v>141</v>
      </c>
      <c r="C24" s="236" t="s">
        <v>122</v>
      </c>
      <c r="D24" s="236" t="s">
        <v>122</v>
      </c>
      <c r="E24" s="240">
        <v>350</v>
      </c>
      <c r="F24" s="245">
        <v>2.2</v>
      </c>
      <c r="G24" s="239">
        <v>7.7</v>
      </c>
    </row>
    <row r="25" spans="1:7" ht="12.75">
      <c r="A25" s="387" t="s">
        <v>348</v>
      </c>
      <c r="B25" s="387"/>
      <c r="C25" s="387"/>
      <c r="D25" s="387"/>
      <c r="E25" s="387"/>
      <c r="F25" s="387"/>
      <c r="G25" s="239">
        <v>55</v>
      </c>
    </row>
    <row r="26" spans="1:7" ht="12.75">
      <c r="A26" s="381" t="s">
        <v>347</v>
      </c>
      <c r="B26" s="382"/>
      <c r="C26" s="382"/>
      <c r="D26" s="382"/>
      <c r="E26" s="382"/>
      <c r="F26" s="383"/>
      <c r="G26" s="239">
        <v>0</v>
      </c>
    </row>
    <row r="27" spans="1:7" ht="12.75">
      <c r="A27" s="381" t="s">
        <v>346</v>
      </c>
      <c r="B27" s="382"/>
      <c r="C27" s="382"/>
      <c r="D27" s="382"/>
      <c r="E27" s="382"/>
      <c r="F27" s="383"/>
      <c r="G27" s="239">
        <v>55</v>
      </c>
    </row>
    <row r="28" spans="1:7" ht="12.75">
      <c r="A28" s="237" t="s">
        <v>77</v>
      </c>
      <c r="B28" s="241" t="s">
        <v>142</v>
      </c>
      <c r="C28" s="237" t="s">
        <v>122</v>
      </c>
      <c r="D28" s="238" t="s">
        <v>134</v>
      </c>
      <c r="E28" s="238">
        <v>260</v>
      </c>
      <c r="F28" s="245"/>
      <c r="G28" s="239">
        <v>0</v>
      </c>
    </row>
    <row r="29" spans="1:7" ht="38.25">
      <c r="A29" s="237"/>
      <c r="B29" s="241"/>
      <c r="C29" s="237"/>
      <c r="D29" s="237" t="s">
        <v>138</v>
      </c>
      <c r="E29" s="238">
        <v>220</v>
      </c>
      <c r="F29" s="245">
        <v>74.6</v>
      </c>
      <c r="G29" s="239">
        <v>164.1</v>
      </c>
    </row>
    <row r="30" spans="1:7" ht="25.5">
      <c r="A30" s="237"/>
      <c r="B30" s="241"/>
      <c r="C30" s="237"/>
      <c r="D30" s="237" t="s">
        <v>139</v>
      </c>
      <c r="E30" s="238">
        <v>150</v>
      </c>
      <c r="F30" s="245">
        <v>195.9</v>
      </c>
      <c r="G30" s="239">
        <v>293.85</v>
      </c>
    </row>
    <row r="31" spans="1:7" ht="12.75">
      <c r="A31" s="237" t="s">
        <v>78</v>
      </c>
      <c r="B31" s="241" t="s">
        <v>143</v>
      </c>
      <c r="C31" s="237" t="s">
        <v>122</v>
      </c>
      <c r="D31" s="237" t="s">
        <v>122</v>
      </c>
      <c r="E31" s="238">
        <v>270</v>
      </c>
      <c r="F31" s="245">
        <v>1.3</v>
      </c>
      <c r="G31" s="239">
        <v>3.4</v>
      </c>
    </row>
    <row r="32" spans="1:7" ht="12.75">
      <c r="A32" s="381" t="s">
        <v>144</v>
      </c>
      <c r="B32" s="382"/>
      <c r="C32" s="382"/>
      <c r="D32" s="382"/>
      <c r="E32" s="382"/>
      <c r="F32" s="383"/>
      <c r="G32" s="239">
        <v>461.4</v>
      </c>
    </row>
    <row r="33" spans="1:7" ht="12.75">
      <c r="A33" s="31"/>
      <c r="B33" s="37"/>
      <c r="C33" s="31"/>
      <c r="D33" s="32"/>
      <c r="E33" s="32"/>
      <c r="F33" s="32"/>
      <c r="G33" s="32"/>
    </row>
    <row r="35" spans="2:7" ht="15">
      <c r="B35" s="114" t="s">
        <v>247</v>
      </c>
      <c r="C35" s="109"/>
      <c r="D35" s="193" t="s">
        <v>253</v>
      </c>
      <c r="E35" s="193"/>
      <c r="F35" s="242"/>
      <c r="G35" s="60"/>
    </row>
    <row r="36" spans="3:7" ht="15">
      <c r="C36" s="111"/>
      <c r="D36" s="243" t="s">
        <v>245</v>
      </c>
      <c r="E36" s="194"/>
      <c r="F36" s="194" t="s">
        <v>246</v>
      </c>
      <c r="G36" s="60"/>
    </row>
    <row r="37" spans="1:7" ht="12.75">
      <c r="A37" s="31"/>
      <c r="B37" s="37"/>
      <c r="C37" s="31"/>
      <c r="D37" s="32"/>
      <c r="E37" s="32"/>
      <c r="F37" s="32"/>
      <c r="G37" s="32"/>
    </row>
    <row r="38" ht="12.75">
      <c r="B38" t="s">
        <v>145</v>
      </c>
    </row>
    <row r="39" spans="1:7" ht="24.75" customHeight="1">
      <c r="A39" s="380" t="s">
        <v>146</v>
      </c>
      <c r="B39" s="380"/>
      <c r="C39" s="380"/>
      <c r="D39" s="380"/>
      <c r="E39" s="380"/>
      <c r="F39" s="380"/>
      <c r="G39" s="380"/>
    </row>
    <row r="40" spans="1:7" s="33" customFormat="1" ht="12.75" customHeight="1">
      <c r="A40" s="379" t="s">
        <v>147</v>
      </c>
      <c r="B40" s="379"/>
      <c r="C40" s="379"/>
      <c r="D40" s="379"/>
      <c r="E40" s="379"/>
      <c r="F40" s="379"/>
      <c r="G40" s="379"/>
    </row>
    <row r="41" spans="1:7" s="33" customFormat="1" ht="12.75" customHeight="1">
      <c r="A41" s="379" t="s">
        <v>148</v>
      </c>
      <c r="B41" s="379"/>
      <c r="C41" s="379"/>
      <c r="D41" s="379"/>
      <c r="E41" s="379"/>
      <c r="F41" s="379"/>
      <c r="G41" s="379"/>
    </row>
    <row r="42" spans="1:7" s="33" customFormat="1" ht="12.75" customHeight="1">
      <c r="A42" s="379" t="s">
        <v>149</v>
      </c>
      <c r="B42" s="379"/>
      <c r="C42" s="379"/>
      <c r="D42" s="379"/>
      <c r="E42" s="379"/>
      <c r="F42" s="379"/>
      <c r="G42" s="379"/>
    </row>
    <row r="43" spans="1:7" ht="24.75" customHeight="1">
      <c r="A43" s="380" t="s">
        <v>150</v>
      </c>
      <c r="B43" s="380"/>
      <c r="C43" s="380"/>
      <c r="D43" s="380"/>
      <c r="E43" s="380"/>
      <c r="F43" s="380"/>
      <c r="G43" s="380"/>
    </row>
    <row r="44" spans="1:7" ht="12.75" customHeight="1">
      <c r="A44" s="380" t="s">
        <v>151</v>
      </c>
      <c r="B44" s="380"/>
      <c r="C44" s="380"/>
      <c r="D44" s="380"/>
      <c r="E44" s="380"/>
      <c r="F44" s="380"/>
      <c r="G44" s="380"/>
    </row>
    <row r="48" spans="2:7" ht="15">
      <c r="B48" s="114"/>
      <c r="C48" s="109"/>
      <c r="D48" s="109"/>
      <c r="E48" s="109"/>
      <c r="F48" s="60"/>
      <c r="G48" s="60"/>
    </row>
    <row r="49" spans="3:7" ht="15">
      <c r="C49" s="111"/>
      <c r="D49" s="113"/>
      <c r="E49" s="112"/>
      <c r="F49" s="112"/>
      <c r="G49" s="60"/>
    </row>
  </sheetData>
  <sheetProtection/>
  <printOptions horizontalCentered="1"/>
  <pageMargins left="0.7874015748031497" right="0.3937007874015748" top="0.3937007874015748" bottom="0.3937007874015748" header="0" footer="0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H49"/>
  <sheetViews>
    <sheetView showGridLines="0" view="pageBreakPreview" zoomScaleSheetLayoutView="100" zoomScalePageLayoutView="0" workbookViewId="0" topLeftCell="A10">
      <selection activeCell="G30" sqref="G30"/>
    </sheetView>
  </sheetViews>
  <sheetFormatPr defaultColWidth="9.00390625" defaultRowHeight="12.75"/>
  <cols>
    <col min="1" max="1" width="16.875" style="0" customWidth="1"/>
    <col min="2" max="2" width="20.875" style="0" customWidth="1"/>
    <col min="3" max="3" width="15.00390625" style="0" customWidth="1"/>
    <col min="4" max="4" width="14.00390625" style="0" customWidth="1"/>
    <col min="5" max="5" width="14.125" style="0" customWidth="1"/>
    <col min="6" max="7" width="12.625" style="0" customWidth="1"/>
  </cols>
  <sheetData>
    <row r="1" spans="1:7" ht="15.75">
      <c r="A1" s="125"/>
      <c r="G1" s="8" t="s">
        <v>402</v>
      </c>
    </row>
    <row r="3" spans="1:7" ht="51.75" customHeight="1">
      <c r="A3" s="397" t="s">
        <v>403</v>
      </c>
      <c r="B3" s="397"/>
      <c r="C3" s="397"/>
      <c r="D3" s="397"/>
      <c r="E3" s="397"/>
      <c r="F3" s="397"/>
      <c r="G3" s="397"/>
    </row>
    <row r="4" spans="1:7" ht="12.75">
      <c r="A4" s="34"/>
      <c r="B4" s="34"/>
      <c r="C4" s="34"/>
      <c r="D4" s="34"/>
      <c r="E4" s="34"/>
      <c r="F4" s="34"/>
      <c r="G4" s="34"/>
    </row>
    <row r="5" spans="1:7" ht="63.75">
      <c r="A5" s="396" t="s">
        <v>404</v>
      </c>
      <c r="B5" s="396" t="s">
        <v>91</v>
      </c>
      <c r="C5" s="396" t="s">
        <v>405</v>
      </c>
      <c r="D5" s="396" t="s">
        <v>123</v>
      </c>
      <c r="E5" s="20" t="s">
        <v>406</v>
      </c>
      <c r="F5" s="20" t="s">
        <v>407</v>
      </c>
      <c r="G5" s="20" t="s">
        <v>128</v>
      </c>
    </row>
    <row r="6" spans="1:7" ht="12.75">
      <c r="A6" s="30"/>
      <c r="B6" s="30"/>
      <c r="C6" s="30"/>
      <c r="D6" s="30"/>
      <c r="E6" s="20" t="s">
        <v>408</v>
      </c>
      <c r="F6" s="20" t="s">
        <v>409</v>
      </c>
      <c r="G6" s="20" t="s">
        <v>130</v>
      </c>
    </row>
    <row r="7" spans="1:7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 t="s">
        <v>410</v>
      </c>
    </row>
    <row r="8" spans="1:7" ht="12.75">
      <c r="A8" s="395">
        <v>1</v>
      </c>
      <c r="B8" s="396" t="s">
        <v>411</v>
      </c>
      <c r="C8" s="396" t="s">
        <v>412</v>
      </c>
      <c r="D8" s="20" t="s">
        <v>413</v>
      </c>
      <c r="E8" s="17">
        <v>105</v>
      </c>
      <c r="F8" s="244"/>
      <c r="G8" s="234">
        <v>0</v>
      </c>
    </row>
    <row r="9" spans="1:7" ht="12.75">
      <c r="A9" s="392"/>
      <c r="B9" s="30"/>
      <c r="C9" s="30"/>
      <c r="D9" s="20">
        <v>35</v>
      </c>
      <c r="E9" s="17">
        <v>75</v>
      </c>
      <c r="F9" s="244"/>
      <c r="G9" s="234">
        <v>0</v>
      </c>
    </row>
    <row r="10" spans="1:7" ht="25.5" customHeight="1">
      <c r="A10" s="395">
        <v>2</v>
      </c>
      <c r="B10" s="396" t="s">
        <v>414</v>
      </c>
      <c r="C10" s="396" t="s">
        <v>415</v>
      </c>
      <c r="D10" s="20" t="s">
        <v>413</v>
      </c>
      <c r="E10" s="17">
        <v>7.8</v>
      </c>
      <c r="F10" s="244"/>
      <c r="G10" s="234">
        <v>0</v>
      </c>
    </row>
    <row r="11" spans="1:7" ht="25.5" customHeight="1">
      <c r="A11" s="391"/>
      <c r="B11" s="393"/>
      <c r="C11" s="393"/>
      <c r="D11" s="20">
        <v>35</v>
      </c>
      <c r="E11" s="17">
        <v>2.1</v>
      </c>
      <c r="F11" s="244"/>
      <c r="G11" s="234">
        <v>0</v>
      </c>
    </row>
    <row r="12" spans="1:7" ht="25.5" customHeight="1">
      <c r="A12" s="392"/>
      <c r="B12" s="30"/>
      <c r="C12" s="30"/>
      <c r="D12" s="20" t="s">
        <v>416</v>
      </c>
      <c r="E12" s="39">
        <v>1</v>
      </c>
      <c r="F12" s="244">
        <v>78</v>
      </c>
      <c r="G12" s="234">
        <v>78</v>
      </c>
    </row>
    <row r="13" spans="1:7" ht="12.75" customHeight="1">
      <c r="A13" s="395">
        <v>3</v>
      </c>
      <c r="B13" s="396" t="s">
        <v>417</v>
      </c>
      <c r="C13" s="396" t="s">
        <v>418</v>
      </c>
      <c r="D13" s="20" t="s">
        <v>413</v>
      </c>
      <c r="E13" s="17">
        <v>26</v>
      </c>
      <c r="F13" s="244"/>
      <c r="G13" s="234">
        <v>0</v>
      </c>
    </row>
    <row r="14" spans="1:7" ht="12.75">
      <c r="A14" s="391"/>
      <c r="B14" s="393"/>
      <c r="C14" s="393"/>
      <c r="D14" s="20">
        <v>35</v>
      </c>
      <c r="E14" s="17">
        <v>11</v>
      </c>
      <c r="F14" s="244"/>
      <c r="G14" s="234">
        <v>0</v>
      </c>
    </row>
    <row r="15" spans="1:7" ht="12.75">
      <c r="A15" s="392"/>
      <c r="B15" s="30"/>
      <c r="C15" s="30"/>
      <c r="D15" s="38" t="s">
        <v>416</v>
      </c>
      <c r="E15" s="17">
        <v>5.5</v>
      </c>
      <c r="F15" s="244">
        <v>125</v>
      </c>
      <c r="G15" s="234">
        <v>687.5</v>
      </c>
    </row>
    <row r="16" spans="1:7" ht="12.75" customHeight="1">
      <c r="A16" s="395">
        <v>4</v>
      </c>
      <c r="B16" s="396" t="s">
        <v>419</v>
      </c>
      <c r="C16" s="396" t="s">
        <v>420</v>
      </c>
      <c r="D16" s="20" t="s">
        <v>413</v>
      </c>
      <c r="E16" s="20">
        <v>14</v>
      </c>
      <c r="F16" s="244"/>
      <c r="G16" s="234">
        <v>0</v>
      </c>
    </row>
    <row r="17" spans="1:7" ht="12.75">
      <c r="A17" s="391"/>
      <c r="B17" s="393"/>
      <c r="C17" s="393"/>
      <c r="D17" s="20">
        <v>35</v>
      </c>
      <c r="E17" s="20">
        <v>6.4</v>
      </c>
      <c r="F17" s="244"/>
      <c r="G17" s="234">
        <v>0</v>
      </c>
    </row>
    <row r="18" spans="1:7" ht="12.75">
      <c r="A18" s="392"/>
      <c r="B18" s="30"/>
      <c r="C18" s="30"/>
      <c r="D18" s="38" t="s">
        <v>416</v>
      </c>
      <c r="E18" s="20">
        <v>3.1</v>
      </c>
      <c r="F18" s="244"/>
      <c r="G18" s="234">
        <v>0</v>
      </c>
    </row>
    <row r="19" spans="1:7" ht="12.75" customHeight="1">
      <c r="A19" s="395">
        <v>5</v>
      </c>
      <c r="B19" s="396" t="s">
        <v>421</v>
      </c>
      <c r="C19" s="396" t="s">
        <v>415</v>
      </c>
      <c r="D19" s="20" t="s">
        <v>413</v>
      </c>
      <c r="E19" s="20">
        <v>9.5</v>
      </c>
      <c r="F19" s="244"/>
      <c r="G19" s="234">
        <v>0</v>
      </c>
    </row>
    <row r="20" spans="1:7" ht="12.75">
      <c r="A20" s="392"/>
      <c r="B20" s="30"/>
      <c r="C20" s="30"/>
      <c r="D20" s="20">
        <v>35</v>
      </c>
      <c r="E20" s="20">
        <v>4.7</v>
      </c>
      <c r="F20" s="244"/>
      <c r="G20" s="234">
        <v>0</v>
      </c>
    </row>
    <row r="21" spans="1:7" ht="25.5">
      <c r="A21" s="17">
        <v>6</v>
      </c>
      <c r="B21" s="20" t="s">
        <v>422</v>
      </c>
      <c r="C21" s="20" t="s">
        <v>420</v>
      </c>
      <c r="D21" s="40" t="s">
        <v>416</v>
      </c>
      <c r="E21" s="20">
        <v>2.3</v>
      </c>
      <c r="F21" s="244">
        <v>78</v>
      </c>
      <c r="G21" s="234">
        <v>179.4</v>
      </c>
    </row>
    <row r="22" spans="1:7" ht="38.25">
      <c r="A22" s="17">
        <v>7</v>
      </c>
      <c r="B22" s="20" t="s">
        <v>423</v>
      </c>
      <c r="C22" s="20" t="s">
        <v>420</v>
      </c>
      <c r="D22" s="40" t="s">
        <v>416</v>
      </c>
      <c r="E22" s="20">
        <v>26</v>
      </c>
      <c r="F22" s="244"/>
      <c r="G22" s="234">
        <v>0</v>
      </c>
    </row>
    <row r="23" spans="1:7" ht="25.5">
      <c r="A23" s="17">
        <v>8</v>
      </c>
      <c r="B23" s="20" t="s">
        <v>424</v>
      </c>
      <c r="C23" s="20" t="s">
        <v>420</v>
      </c>
      <c r="D23" s="40" t="s">
        <v>416</v>
      </c>
      <c r="E23" s="20">
        <v>48</v>
      </c>
      <c r="F23" s="244"/>
      <c r="G23" s="234">
        <v>0</v>
      </c>
    </row>
    <row r="24" spans="1:7" ht="12.75" customHeight="1">
      <c r="A24" s="391">
        <v>9</v>
      </c>
      <c r="B24" s="393" t="s">
        <v>425</v>
      </c>
      <c r="C24" s="393" t="s">
        <v>426</v>
      </c>
      <c r="D24" s="30">
        <v>35</v>
      </c>
      <c r="E24" s="30">
        <v>2.4</v>
      </c>
      <c r="F24" s="244"/>
      <c r="G24" s="234">
        <v>0</v>
      </c>
    </row>
    <row r="25" spans="1:7" ht="12.75">
      <c r="A25" s="392"/>
      <c r="B25" s="30"/>
      <c r="C25" s="30"/>
      <c r="D25" s="40" t="s">
        <v>416</v>
      </c>
      <c r="E25" s="20">
        <v>2.4</v>
      </c>
      <c r="F25" s="244"/>
      <c r="G25" s="234">
        <v>0</v>
      </c>
    </row>
    <row r="26" spans="1:7" ht="25.5">
      <c r="A26" s="17">
        <v>10</v>
      </c>
      <c r="B26" s="20" t="s">
        <v>427</v>
      </c>
      <c r="C26" s="20" t="s">
        <v>428</v>
      </c>
      <c r="D26" s="40" t="s">
        <v>416</v>
      </c>
      <c r="E26" s="20">
        <v>2.5</v>
      </c>
      <c r="F26" s="244">
        <v>4</v>
      </c>
      <c r="G26" s="234">
        <v>10</v>
      </c>
    </row>
    <row r="27" spans="1:7" ht="25.5">
      <c r="A27" s="17">
        <v>11</v>
      </c>
      <c r="B27" s="20" t="s">
        <v>429</v>
      </c>
      <c r="C27" s="20" t="s">
        <v>430</v>
      </c>
      <c r="D27" s="40" t="s">
        <v>416</v>
      </c>
      <c r="E27" s="20">
        <v>2.3</v>
      </c>
      <c r="F27" s="244">
        <v>44</v>
      </c>
      <c r="G27" s="234">
        <v>101.2</v>
      </c>
    </row>
    <row r="28" spans="1:7" ht="25.5">
      <c r="A28" s="17">
        <v>12</v>
      </c>
      <c r="B28" s="20" t="s">
        <v>431</v>
      </c>
      <c r="C28" s="20" t="s">
        <v>430</v>
      </c>
      <c r="D28" s="40" t="s">
        <v>416</v>
      </c>
      <c r="E28" s="20">
        <v>3</v>
      </c>
      <c r="F28" s="244">
        <v>15</v>
      </c>
      <c r="G28" s="234">
        <v>45</v>
      </c>
    </row>
    <row r="29" spans="1:7" ht="38.25">
      <c r="A29" s="17">
        <v>13</v>
      </c>
      <c r="B29" s="20" t="s">
        <v>432</v>
      </c>
      <c r="C29" s="20" t="s">
        <v>433</v>
      </c>
      <c r="D29" s="20">
        <v>35</v>
      </c>
      <c r="E29" s="20">
        <v>3.5</v>
      </c>
      <c r="F29" s="244"/>
      <c r="G29" s="234">
        <v>0</v>
      </c>
    </row>
    <row r="30" spans="1:7" ht="12.75">
      <c r="A30" s="17" t="s">
        <v>89</v>
      </c>
      <c r="B30" s="20" t="s">
        <v>434</v>
      </c>
      <c r="C30" s="20"/>
      <c r="D30" s="20" t="s">
        <v>4</v>
      </c>
      <c r="E30" s="17" t="s">
        <v>122</v>
      </c>
      <c r="F30" s="235" t="s">
        <v>122</v>
      </c>
      <c r="G30" s="234">
        <v>0</v>
      </c>
    </row>
    <row r="31" spans="1:7" ht="12.75">
      <c r="A31" s="17"/>
      <c r="B31" s="20"/>
      <c r="C31" s="20"/>
      <c r="D31" s="20" t="s">
        <v>157</v>
      </c>
      <c r="E31" s="17" t="s">
        <v>122</v>
      </c>
      <c r="F31" s="235" t="s">
        <v>122</v>
      </c>
      <c r="G31" s="234">
        <v>49.5</v>
      </c>
    </row>
    <row r="32" spans="1:7" ht="12.75">
      <c r="A32" s="17"/>
      <c r="B32" s="20"/>
      <c r="C32" s="20"/>
      <c r="D32" s="20" t="s">
        <v>435</v>
      </c>
      <c r="E32" s="17" t="s">
        <v>122</v>
      </c>
      <c r="F32" s="235" t="s">
        <v>122</v>
      </c>
      <c r="G32" s="234">
        <v>1101.1</v>
      </c>
    </row>
    <row r="33" spans="1:7" ht="12.75">
      <c r="A33" s="36"/>
      <c r="B33" s="31"/>
      <c r="C33" s="31"/>
      <c r="D33" s="31"/>
      <c r="E33" s="36"/>
      <c r="F33" s="36"/>
      <c r="G33" s="31"/>
    </row>
    <row r="34" spans="1:7" ht="12.75">
      <c r="A34" s="36"/>
      <c r="B34" s="31"/>
      <c r="C34" s="31"/>
      <c r="D34" s="31"/>
      <c r="E34" s="36"/>
      <c r="F34" s="36"/>
      <c r="G34" s="31"/>
    </row>
    <row r="35" spans="2:7" ht="15">
      <c r="B35" s="114" t="s">
        <v>247</v>
      </c>
      <c r="C35" s="109"/>
      <c r="D35" s="109" t="s">
        <v>253</v>
      </c>
      <c r="E35" s="378" t="s">
        <v>400</v>
      </c>
      <c r="F35" s="378"/>
      <c r="G35" s="378"/>
    </row>
    <row r="36" spans="3:7" ht="15">
      <c r="C36" s="111"/>
      <c r="D36" s="113" t="s">
        <v>245</v>
      </c>
      <c r="E36" s="112"/>
      <c r="F36" s="112" t="s">
        <v>246</v>
      </c>
      <c r="G36" s="60"/>
    </row>
    <row r="37" ht="12.75">
      <c r="A37" t="s">
        <v>145</v>
      </c>
    </row>
    <row r="38" spans="1:7" ht="27" customHeight="1">
      <c r="A38" s="380" t="s">
        <v>436</v>
      </c>
      <c r="B38" s="380"/>
      <c r="C38" s="380"/>
      <c r="D38" s="380"/>
      <c r="E38" s="380"/>
      <c r="F38" s="380"/>
      <c r="G38" s="380"/>
    </row>
    <row r="39" spans="1:7" ht="51.75" customHeight="1">
      <c r="A39" s="380" t="s">
        <v>437</v>
      </c>
      <c r="B39" s="380"/>
      <c r="C39" s="380"/>
      <c r="D39" s="380"/>
      <c r="E39" s="380"/>
      <c r="F39" s="380"/>
      <c r="G39" s="380"/>
    </row>
    <row r="40" spans="1:7" ht="41.25" customHeight="1">
      <c r="A40" s="380" t="s">
        <v>438</v>
      </c>
      <c r="B40" s="380"/>
      <c r="C40" s="380"/>
      <c r="D40" s="380"/>
      <c r="E40" s="380"/>
      <c r="F40" s="380"/>
      <c r="G40" s="380"/>
    </row>
    <row r="41" spans="1:7" ht="54" customHeight="1">
      <c r="A41" s="380" t="s">
        <v>439</v>
      </c>
      <c r="B41" s="380"/>
      <c r="C41" s="380"/>
      <c r="D41" s="380"/>
      <c r="E41" s="380"/>
      <c r="F41" s="380"/>
      <c r="G41" s="380"/>
    </row>
    <row r="42" spans="1:7" ht="69" customHeight="1">
      <c r="A42" s="400" t="s">
        <v>440</v>
      </c>
      <c r="B42" s="380"/>
      <c r="C42" s="380"/>
      <c r="D42" s="380"/>
      <c r="E42" s="380"/>
      <c r="F42" s="380"/>
      <c r="G42" s="380"/>
    </row>
    <row r="43" spans="1:7" ht="55.5" customHeight="1">
      <c r="A43" s="380" t="s">
        <v>441</v>
      </c>
      <c r="B43" s="380"/>
      <c r="C43" s="380"/>
      <c r="D43" s="380"/>
      <c r="E43" s="380"/>
      <c r="F43" s="380"/>
      <c r="G43" s="380"/>
    </row>
    <row r="44" spans="1:7" ht="40.5" customHeight="1">
      <c r="A44" s="380" t="s">
        <v>442</v>
      </c>
      <c r="B44" s="380"/>
      <c r="C44" s="380"/>
      <c r="D44" s="380"/>
      <c r="E44" s="380"/>
      <c r="F44" s="380"/>
      <c r="G44" s="380"/>
    </row>
    <row r="45" spans="1:7" ht="43.5" customHeight="1">
      <c r="A45" s="394" t="s">
        <v>443</v>
      </c>
      <c r="B45" s="394"/>
      <c r="C45" s="394"/>
      <c r="D45" s="394"/>
      <c r="E45" s="394"/>
      <c r="F45" s="394"/>
      <c r="G45" s="394"/>
    </row>
    <row r="46" spans="1:7" ht="29.25" customHeight="1">
      <c r="A46" s="390" t="s">
        <v>444</v>
      </c>
      <c r="B46" s="119"/>
      <c r="C46" s="119"/>
      <c r="D46" s="119"/>
      <c r="E46" s="119"/>
      <c r="F46" s="119"/>
      <c r="G46" s="119"/>
    </row>
    <row r="48" spans="2:8" ht="15">
      <c r="B48" s="114"/>
      <c r="C48" s="109"/>
      <c r="D48" s="109"/>
      <c r="E48" s="109"/>
      <c r="F48" s="60"/>
      <c r="G48" s="60"/>
      <c r="H48" s="60"/>
    </row>
    <row r="49" spans="3:8" ht="15">
      <c r="C49" s="111"/>
      <c r="D49" s="113"/>
      <c r="E49" s="112"/>
      <c r="F49" s="112"/>
      <c r="G49" s="60"/>
      <c r="H49" s="60"/>
    </row>
  </sheetData>
  <sheetProtection/>
  <printOptions horizontalCentered="1"/>
  <pageMargins left="0.7874015748031497" right="0.3937007874015748" top="0.3937007874015748" bottom="0.3937007874015748" header="0" footer="0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46"/>
  <sheetViews>
    <sheetView view="pageBreakPreview" zoomScaleNormal="75" zoomScaleSheetLayoutView="100" zoomScalePageLayoutView="0" workbookViewId="0" topLeftCell="C1">
      <selection activeCell="H15" sqref="H15"/>
    </sheetView>
  </sheetViews>
  <sheetFormatPr defaultColWidth="10.625" defaultRowHeight="12.75"/>
  <cols>
    <col min="1" max="1" width="12.00390625" style="44" customWidth="1"/>
    <col min="2" max="2" width="54.875" style="44" customWidth="1"/>
    <col min="3" max="7" width="16.50390625" style="44" customWidth="1"/>
    <col min="8" max="9" width="15.00390625" style="44" customWidth="1"/>
    <col min="10" max="12" width="15.125" style="44" customWidth="1"/>
    <col min="13" max="16384" width="10.625" style="44" customWidth="1"/>
  </cols>
  <sheetData>
    <row r="1" spans="1:12" s="143" customFormat="1" ht="15.75">
      <c r="A1" s="142" t="str">
        <f>+Заполнить!C2</f>
        <v>МУП "Тепловодоснабжение" </v>
      </c>
      <c r="I1" s="136"/>
      <c r="J1" s="409" t="s">
        <v>306</v>
      </c>
      <c r="K1" s="409"/>
      <c r="L1" s="409"/>
    </row>
    <row r="2" spans="2:12" s="143" customFormat="1" ht="15.75">
      <c r="B2" s="405"/>
      <c r="C2" s="405"/>
      <c r="D2" s="405"/>
      <c r="E2" s="405"/>
      <c r="F2" s="405"/>
      <c r="G2" s="405"/>
      <c r="H2" s="410"/>
      <c r="I2" s="410"/>
      <c r="J2" s="410"/>
      <c r="K2" s="410"/>
      <c r="L2" s="410"/>
    </row>
    <row r="3" spans="1:17" s="143" customFormat="1" ht="15.75">
      <c r="A3" s="411" t="s">
        <v>307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144"/>
      <c r="N3" s="144"/>
      <c r="O3" s="144"/>
      <c r="P3" s="144"/>
      <c r="Q3" s="144"/>
    </row>
    <row r="4" spans="2:12" s="143" customFormat="1" ht="15.75"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</row>
    <row r="5" spans="1:12" ht="15.75">
      <c r="A5" s="407" t="s">
        <v>316</v>
      </c>
      <c r="B5" s="404" t="s">
        <v>0</v>
      </c>
      <c r="C5" s="407">
        <v>2017</v>
      </c>
      <c r="D5" s="407"/>
      <c r="E5" s="407"/>
      <c r="F5" s="407"/>
      <c r="G5" s="407"/>
      <c r="H5" s="407">
        <v>2018</v>
      </c>
      <c r="I5" s="407"/>
      <c r="J5" s="407"/>
      <c r="K5" s="407"/>
      <c r="L5" s="407"/>
    </row>
    <row r="6" spans="1:12" ht="15.75">
      <c r="A6" s="407"/>
      <c r="B6" s="405"/>
      <c r="C6" s="403" t="s">
        <v>6</v>
      </c>
      <c r="D6" s="403" t="s">
        <v>156</v>
      </c>
      <c r="E6" s="403"/>
      <c r="F6" s="403"/>
      <c r="G6" s="403"/>
      <c r="H6" s="403" t="s">
        <v>6</v>
      </c>
      <c r="I6" s="403" t="s">
        <v>156</v>
      </c>
      <c r="J6" s="403"/>
      <c r="K6" s="403"/>
      <c r="L6" s="403"/>
    </row>
    <row r="7" spans="1:12" ht="15.75">
      <c r="A7" s="407"/>
      <c r="B7" s="406"/>
      <c r="C7" s="403"/>
      <c r="D7" s="49" t="s">
        <v>4</v>
      </c>
      <c r="E7" s="49" t="s">
        <v>157</v>
      </c>
      <c r="F7" s="49" t="s">
        <v>158</v>
      </c>
      <c r="G7" s="49" t="s">
        <v>5</v>
      </c>
      <c r="H7" s="403"/>
      <c r="I7" s="49" t="s">
        <v>4</v>
      </c>
      <c r="J7" s="49" t="s">
        <v>157</v>
      </c>
      <c r="K7" s="49" t="s">
        <v>158</v>
      </c>
      <c r="L7" s="49" t="s">
        <v>5</v>
      </c>
    </row>
    <row r="8" spans="1:12" s="307" customFormat="1" ht="15.75">
      <c r="A8" s="313">
        <v>1</v>
      </c>
      <c r="B8" s="308" t="s">
        <v>159</v>
      </c>
      <c r="C8" s="314">
        <f>SUM(C9:C13)</f>
        <v>4.53</v>
      </c>
      <c r="D8" s="314">
        <f>D9</f>
        <v>0</v>
      </c>
      <c r="E8" s="314">
        <f>E9+E11</f>
        <v>0</v>
      </c>
      <c r="F8" s="314">
        <f>F9+F11+F12</f>
        <v>4.53</v>
      </c>
      <c r="G8" s="314">
        <f>G9+G13</f>
        <v>0</v>
      </c>
      <c r="H8" s="314">
        <f>SUM(H9:H13)</f>
        <v>8.62</v>
      </c>
      <c r="I8" s="314">
        <f>I9</f>
        <v>0</v>
      </c>
      <c r="J8" s="314">
        <f>J9+J11</f>
        <v>0</v>
      </c>
      <c r="K8" s="314">
        <f>K9+K11+K12</f>
        <v>8.62</v>
      </c>
      <c r="L8" s="314">
        <f>L9+L13</f>
        <v>0</v>
      </c>
    </row>
    <row r="9" spans="1:12" ht="15.75">
      <c r="A9" s="311" t="s">
        <v>365</v>
      </c>
      <c r="B9" s="50" t="s">
        <v>160</v>
      </c>
      <c r="C9" s="314">
        <f>D9+E9+F9+G9</f>
        <v>4.53</v>
      </c>
      <c r="D9" s="315"/>
      <c r="E9" s="315"/>
      <c r="F9" s="315">
        <v>4.53</v>
      </c>
      <c r="G9" s="315">
        <v>0</v>
      </c>
      <c r="H9" s="314">
        <f>I9+J9+K9+L9</f>
        <v>8.62</v>
      </c>
      <c r="I9" s="315"/>
      <c r="J9" s="315"/>
      <c r="K9" s="315">
        <v>8.62</v>
      </c>
      <c r="L9" s="315">
        <v>0</v>
      </c>
    </row>
    <row r="10" spans="1:12" ht="15.75">
      <c r="A10" s="311" t="s">
        <v>366</v>
      </c>
      <c r="B10" s="50" t="s">
        <v>161</v>
      </c>
      <c r="C10" s="314">
        <f>E10+F10+G10</f>
        <v>0</v>
      </c>
      <c r="D10" s="314"/>
      <c r="E10" s="314">
        <f>E11</f>
        <v>0</v>
      </c>
      <c r="F10" s="314">
        <f>F11+F12</f>
        <v>0</v>
      </c>
      <c r="G10" s="314">
        <f>G13</f>
        <v>0</v>
      </c>
      <c r="H10" s="314">
        <f>J10+K10+L10</f>
        <v>0</v>
      </c>
      <c r="I10" s="314"/>
      <c r="J10" s="314">
        <f>J11</f>
        <v>0</v>
      </c>
      <c r="K10" s="314">
        <f>K11+K12</f>
        <v>0</v>
      </c>
      <c r="L10" s="314">
        <f>L13</f>
        <v>0</v>
      </c>
    </row>
    <row r="11" spans="1:12" ht="15.75">
      <c r="A11" s="311" t="s">
        <v>367</v>
      </c>
      <c r="B11" s="48" t="s">
        <v>4</v>
      </c>
      <c r="C11" s="314"/>
      <c r="D11" s="316"/>
      <c r="E11" s="315"/>
      <c r="F11" s="315"/>
      <c r="G11" s="316"/>
      <c r="H11" s="316"/>
      <c r="I11" s="316"/>
      <c r="J11" s="315"/>
      <c r="K11" s="315"/>
      <c r="L11" s="316"/>
    </row>
    <row r="12" spans="1:12" ht="15.75">
      <c r="A12" s="311" t="s">
        <v>368</v>
      </c>
      <c r="B12" s="48" t="s">
        <v>157</v>
      </c>
      <c r="C12" s="314"/>
      <c r="D12" s="316"/>
      <c r="E12" s="316"/>
      <c r="F12" s="315"/>
      <c r="G12" s="316"/>
      <c r="H12" s="316"/>
      <c r="I12" s="316"/>
      <c r="J12" s="316"/>
      <c r="K12" s="315"/>
      <c r="L12" s="316"/>
    </row>
    <row r="13" spans="1:12" ht="15.75">
      <c r="A13" s="311" t="s">
        <v>369</v>
      </c>
      <c r="B13" s="48" t="s">
        <v>158</v>
      </c>
      <c r="C13" s="314"/>
      <c r="D13" s="316"/>
      <c r="E13" s="316"/>
      <c r="F13" s="316"/>
      <c r="G13" s="315"/>
      <c r="H13" s="316"/>
      <c r="I13" s="316"/>
      <c r="J13" s="316"/>
      <c r="K13" s="316"/>
      <c r="L13" s="315"/>
    </row>
    <row r="14" spans="1:12" ht="15.75">
      <c r="A14" s="311" t="s">
        <v>11</v>
      </c>
      <c r="B14" s="50" t="s">
        <v>162</v>
      </c>
      <c r="C14" s="314">
        <f>D14+E14+F14+G14</f>
        <v>0.9</v>
      </c>
      <c r="D14" s="315"/>
      <c r="E14" s="315"/>
      <c r="F14" s="315">
        <v>0.9</v>
      </c>
      <c r="G14" s="315"/>
      <c r="H14" s="314">
        <f>I14+J14+K14+L14</f>
        <v>1.64</v>
      </c>
      <c r="I14" s="315"/>
      <c r="J14" s="315"/>
      <c r="K14" s="315">
        <v>1.64</v>
      </c>
      <c r="L14" s="315"/>
    </row>
    <row r="15" spans="1:17" ht="15.75">
      <c r="A15" s="311" t="s">
        <v>44</v>
      </c>
      <c r="B15" s="50" t="s">
        <v>163</v>
      </c>
      <c r="C15" s="317">
        <f aca="true" t="shared" si="0" ref="C15:L15">IF(C8&gt;0,C14/C8,0)</f>
        <v>0.1986754966887417</v>
      </c>
      <c r="D15" s="317">
        <f t="shared" si="0"/>
        <v>0</v>
      </c>
      <c r="E15" s="317">
        <f t="shared" si="0"/>
        <v>0</v>
      </c>
      <c r="F15" s="317">
        <f t="shared" si="0"/>
        <v>0.1986754966887417</v>
      </c>
      <c r="G15" s="317">
        <f t="shared" si="0"/>
        <v>0</v>
      </c>
      <c r="H15" s="317">
        <f t="shared" si="0"/>
        <v>0.1902552204176334</v>
      </c>
      <c r="I15" s="317">
        <f t="shared" si="0"/>
        <v>0</v>
      </c>
      <c r="J15" s="317">
        <f t="shared" si="0"/>
        <v>0</v>
      </c>
      <c r="K15" s="317">
        <f t="shared" si="0"/>
        <v>0.1902552204176334</v>
      </c>
      <c r="L15" s="317">
        <f t="shared" si="0"/>
        <v>0</v>
      </c>
      <c r="M15" s="307"/>
      <c r="N15" s="307"/>
      <c r="O15" s="307"/>
      <c r="P15" s="307"/>
      <c r="Q15" s="307"/>
    </row>
    <row r="16" spans="1:12" ht="31.5">
      <c r="A16" s="311" t="s">
        <v>12</v>
      </c>
      <c r="B16" s="50" t="s">
        <v>370</v>
      </c>
      <c r="C16" s="314">
        <f>D16+E16+F16+G16</f>
        <v>0</v>
      </c>
      <c r="D16" s="318"/>
      <c r="E16" s="318"/>
      <c r="F16" s="318"/>
      <c r="G16" s="318"/>
      <c r="H16" s="314">
        <f>I16+J16+K16+L16</f>
        <v>0</v>
      </c>
      <c r="I16" s="318"/>
      <c r="J16" s="318"/>
      <c r="K16" s="318"/>
      <c r="L16" s="318"/>
    </row>
    <row r="17" spans="1:12" s="307" customFormat="1" ht="15.75">
      <c r="A17" s="313" t="s">
        <v>13</v>
      </c>
      <c r="B17" s="308" t="s">
        <v>361</v>
      </c>
      <c r="C17" s="314">
        <f>SUM(C18:C20)</f>
        <v>4.53</v>
      </c>
      <c r="D17" s="314">
        <f>D8*(1-D15)-E11-F11</f>
        <v>0</v>
      </c>
      <c r="E17" s="314">
        <f>+E8*(1-E15)-F12</f>
        <v>0</v>
      </c>
      <c r="F17" s="314">
        <f>+F8*(1-F15)-G13</f>
        <v>3.6300000000000003</v>
      </c>
      <c r="G17" s="314">
        <f>+G8-G14</f>
        <v>0</v>
      </c>
      <c r="H17" s="314">
        <f>SUM(H18:H20)</f>
        <v>8.62</v>
      </c>
      <c r="I17" s="314">
        <f>I8*(1-I15)-J11-K11</f>
        <v>0</v>
      </c>
      <c r="J17" s="314">
        <f>+J8*(1-J15)-K12</f>
        <v>0</v>
      </c>
      <c r="K17" s="314">
        <f>+K8*(1-K15)-L13</f>
        <v>6.9799999999999995</v>
      </c>
      <c r="L17" s="314">
        <f>+L8-L14</f>
        <v>0</v>
      </c>
    </row>
    <row r="18" spans="1:12" ht="47.25">
      <c r="A18" s="311" t="s">
        <v>14</v>
      </c>
      <c r="B18" s="310" t="s">
        <v>362</v>
      </c>
      <c r="C18" s="314">
        <f>D18+E18+F18+G18</f>
        <v>4.53</v>
      </c>
      <c r="D18" s="315"/>
      <c r="E18" s="315"/>
      <c r="F18" s="315"/>
      <c r="G18" s="315">
        <v>4.53</v>
      </c>
      <c r="H18" s="314">
        <f>I18+J18+K18+L18</f>
        <v>6.8</v>
      </c>
      <c r="I18" s="315"/>
      <c r="J18" s="315"/>
      <c r="K18" s="315"/>
      <c r="L18" s="315">
        <v>6.8</v>
      </c>
    </row>
    <row r="19" spans="1:12" ht="31.5">
      <c r="A19" s="311" t="s">
        <v>371</v>
      </c>
      <c r="B19" s="310" t="s">
        <v>363</v>
      </c>
      <c r="C19" s="314">
        <f>D19+E19+F19+G19</f>
        <v>0</v>
      </c>
      <c r="D19" s="315"/>
      <c r="E19" s="315"/>
      <c r="F19" s="315"/>
      <c r="G19" s="315"/>
      <c r="H19" s="314">
        <f>I19+J19+K19+L19</f>
        <v>0</v>
      </c>
      <c r="I19" s="315"/>
      <c r="J19" s="315"/>
      <c r="K19" s="315"/>
      <c r="L19" s="315"/>
    </row>
    <row r="20" spans="1:12" ht="15.75">
      <c r="A20" s="311" t="s">
        <v>372</v>
      </c>
      <c r="B20" s="310" t="s">
        <v>364</v>
      </c>
      <c r="C20" s="314">
        <f>D20+E20+F20+G20</f>
        <v>0</v>
      </c>
      <c r="D20" s="315"/>
      <c r="E20" s="315"/>
      <c r="F20" s="315"/>
      <c r="G20" s="315"/>
      <c r="H20" s="314">
        <f>I20+J20+K20+L20</f>
        <v>1.82</v>
      </c>
      <c r="I20" s="315"/>
      <c r="J20" s="315"/>
      <c r="K20" s="315">
        <v>1.82</v>
      </c>
      <c r="L20" s="315"/>
    </row>
    <row r="21" spans="1:12" s="307" customFormat="1" ht="15.75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4"/>
    </row>
    <row r="22" spans="1:12" s="307" customFormat="1" ht="15.75">
      <c r="A22" s="313" t="s">
        <v>28</v>
      </c>
      <c r="B22" s="308" t="s">
        <v>165</v>
      </c>
      <c r="C22" s="314">
        <v>40.1</v>
      </c>
      <c r="D22" s="314">
        <f>D23</f>
        <v>0</v>
      </c>
      <c r="E22" s="314">
        <f>E23+E25</f>
        <v>0</v>
      </c>
      <c r="F22" s="314">
        <v>40.1</v>
      </c>
      <c r="G22" s="314">
        <v>0</v>
      </c>
      <c r="H22" s="314">
        <v>40.1</v>
      </c>
      <c r="I22" s="314">
        <f>I23</f>
        <v>0</v>
      </c>
      <c r="J22" s="314">
        <f>J23+J25</f>
        <v>0</v>
      </c>
      <c r="K22" s="314">
        <v>40.1</v>
      </c>
      <c r="L22" s="314">
        <v>0</v>
      </c>
    </row>
    <row r="23" spans="1:12" ht="15.75">
      <c r="A23" s="311" t="s">
        <v>373</v>
      </c>
      <c r="B23" s="50" t="s">
        <v>160</v>
      </c>
      <c r="C23" s="314">
        <f>D23+E23+F23+G23</f>
        <v>0</v>
      </c>
      <c r="D23" s="315"/>
      <c r="E23" s="315"/>
      <c r="F23" s="315"/>
      <c r="G23" s="315"/>
      <c r="H23" s="314">
        <f>I23+J23+K23+L23</f>
        <v>0</v>
      </c>
      <c r="I23" s="315"/>
      <c r="J23" s="315"/>
      <c r="K23" s="315"/>
      <c r="L23" s="315"/>
    </row>
    <row r="24" spans="1:12" ht="15.75">
      <c r="A24" s="311" t="s">
        <v>374</v>
      </c>
      <c r="B24" s="50" t="s">
        <v>161</v>
      </c>
      <c r="C24" s="314">
        <f>E24+F24+G24</f>
        <v>0</v>
      </c>
      <c r="D24" s="314"/>
      <c r="E24" s="314">
        <f>E25</f>
        <v>0</v>
      </c>
      <c r="F24" s="314">
        <f>F25+F26</f>
        <v>0</v>
      </c>
      <c r="G24" s="314">
        <f>G27</f>
        <v>0</v>
      </c>
      <c r="H24" s="314">
        <f>J24+K24+L24</f>
        <v>0</v>
      </c>
      <c r="I24" s="314"/>
      <c r="J24" s="314">
        <f>J25</f>
        <v>0</v>
      </c>
      <c r="K24" s="314">
        <f>K25+K26</f>
        <v>0</v>
      </c>
      <c r="L24" s="314">
        <f>L27</f>
        <v>0</v>
      </c>
    </row>
    <row r="25" spans="1:12" ht="15.75">
      <c r="A25" s="311" t="s">
        <v>375</v>
      </c>
      <c r="B25" s="48" t="s">
        <v>4</v>
      </c>
      <c r="C25" s="314"/>
      <c r="D25" s="316"/>
      <c r="E25" s="315"/>
      <c r="F25" s="315"/>
      <c r="G25" s="316"/>
      <c r="H25" s="316"/>
      <c r="I25" s="316"/>
      <c r="J25" s="315"/>
      <c r="K25" s="315"/>
      <c r="L25" s="316"/>
    </row>
    <row r="26" spans="1:12" ht="15.75">
      <c r="A26" s="311" t="s">
        <v>376</v>
      </c>
      <c r="B26" s="48" t="s">
        <v>157</v>
      </c>
      <c r="C26" s="314"/>
      <c r="D26" s="316"/>
      <c r="E26" s="316"/>
      <c r="F26" s="315"/>
      <c r="G26" s="316"/>
      <c r="H26" s="316"/>
      <c r="I26" s="316"/>
      <c r="J26" s="316"/>
      <c r="K26" s="315"/>
      <c r="L26" s="316"/>
    </row>
    <row r="27" spans="1:12" ht="15.75">
      <c r="A27" s="311" t="s">
        <v>377</v>
      </c>
      <c r="B27" s="48" t="s">
        <v>158</v>
      </c>
      <c r="C27" s="314"/>
      <c r="D27" s="316"/>
      <c r="E27" s="316"/>
      <c r="F27" s="316"/>
      <c r="G27" s="315"/>
      <c r="H27" s="316"/>
      <c r="I27" s="316"/>
      <c r="J27" s="316"/>
      <c r="K27" s="316"/>
      <c r="L27" s="315"/>
    </row>
    <row r="28" spans="1:12" ht="15.75">
      <c r="A28" s="311" t="s">
        <v>29</v>
      </c>
      <c r="B28" s="50" t="s">
        <v>166</v>
      </c>
      <c r="C28" s="314">
        <v>8</v>
      </c>
      <c r="D28" s="315"/>
      <c r="E28" s="315"/>
      <c r="F28" s="315">
        <v>2.53</v>
      </c>
      <c r="G28" s="315">
        <v>5.47</v>
      </c>
      <c r="H28" s="314">
        <v>7.74</v>
      </c>
      <c r="I28" s="315"/>
      <c r="J28" s="315"/>
      <c r="K28" s="315">
        <v>2.53</v>
      </c>
      <c r="L28" s="315">
        <v>5.21</v>
      </c>
    </row>
    <row r="29" spans="1:12" s="307" customFormat="1" ht="15.75">
      <c r="A29" s="313" t="s">
        <v>378</v>
      </c>
      <c r="B29" s="308" t="s">
        <v>167</v>
      </c>
      <c r="C29" s="317">
        <f>IF(C22&gt;0,C28/C22,0)</f>
        <v>0.199501246882793</v>
      </c>
      <c r="D29" s="317">
        <f>IF(D22&gt;0,D28/D22,0)</f>
        <v>0</v>
      </c>
      <c r="E29" s="317">
        <f aca="true" t="shared" si="1" ref="E29:L29">IF(E22&gt;0,E28/E22,0)</f>
        <v>0</v>
      </c>
      <c r="F29" s="317">
        <f t="shared" si="1"/>
        <v>0.06309226932668328</v>
      </c>
      <c r="G29" s="317">
        <f>IF(G22&gt;0,G28/G22,0)</f>
        <v>0</v>
      </c>
      <c r="H29" s="317">
        <f t="shared" si="1"/>
        <v>0.19301745635910225</v>
      </c>
      <c r="I29" s="317">
        <f t="shared" si="1"/>
        <v>0</v>
      </c>
      <c r="J29" s="317">
        <f t="shared" si="1"/>
        <v>0</v>
      </c>
      <c r="K29" s="317">
        <f t="shared" si="1"/>
        <v>0.06309226932668328</v>
      </c>
      <c r="L29" s="317">
        <f t="shared" si="1"/>
        <v>0</v>
      </c>
    </row>
    <row r="30" spans="1:12" ht="31.5">
      <c r="A30" s="311" t="s">
        <v>30</v>
      </c>
      <c r="B30" s="50" t="s">
        <v>258</v>
      </c>
      <c r="C30" s="314">
        <v>0</v>
      </c>
      <c r="D30" s="318"/>
      <c r="E30" s="318"/>
      <c r="F30" s="318"/>
      <c r="G30" s="318"/>
      <c r="H30" s="314">
        <v>0</v>
      </c>
      <c r="I30" s="318"/>
      <c r="J30" s="318"/>
      <c r="K30" s="318"/>
      <c r="L30" s="318"/>
    </row>
    <row r="31" spans="1:12" s="307" customFormat="1" ht="15.75">
      <c r="A31" s="313" t="s">
        <v>32</v>
      </c>
      <c r="B31" s="308" t="s">
        <v>357</v>
      </c>
      <c r="C31" s="314">
        <f>F31+G31</f>
        <v>32.1</v>
      </c>
      <c r="D31" s="314">
        <f>ROUND(D22*(1-D29)-E25-F25,2)</f>
        <v>0</v>
      </c>
      <c r="E31" s="314">
        <f>ROUND(E22*(1-E29)-F26,2)</f>
        <v>0</v>
      </c>
      <c r="F31" s="314">
        <v>9.1</v>
      </c>
      <c r="G31" s="314">
        <v>23</v>
      </c>
      <c r="H31" s="314">
        <f>K31+L31</f>
        <v>32.36</v>
      </c>
      <c r="I31" s="314">
        <f>ROUND(I22*(1-I29)-J25-K25,2)</f>
        <v>0</v>
      </c>
      <c r="J31" s="314">
        <f>ROUND(J22*(1-J29)-K26,2)</f>
        <v>0</v>
      </c>
      <c r="K31" s="314">
        <v>9.1</v>
      </c>
      <c r="L31" s="314">
        <v>23.26</v>
      </c>
    </row>
    <row r="32" spans="1:12" ht="15.75">
      <c r="A32" s="311" t="s">
        <v>379</v>
      </c>
      <c r="B32" s="310" t="s">
        <v>358</v>
      </c>
      <c r="C32" s="314">
        <f>D32+E32+F32+G32</f>
        <v>0</v>
      </c>
      <c r="D32" s="315"/>
      <c r="E32" s="315"/>
      <c r="F32" s="315"/>
      <c r="G32" s="315"/>
      <c r="H32" s="314">
        <f>I32+J32+K32+L32</f>
        <v>0</v>
      </c>
      <c r="I32" s="315"/>
      <c r="J32" s="315"/>
      <c r="K32" s="315"/>
      <c r="L32" s="315"/>
    </row>
    <row r="33" spans="1:12" ht="32.25" customHeight="1">
      <c r="A33" s="311" t="s">
        <v>380</v>
      </c>
      <c r="B33" s="61" t="s">
        <v>356</v>
      </c>
      <c r="C33" s="314">
        <f>D33+E33+F33+G33</f>
        <v>0</v>
      </c>
      <c r="D33" s="315"/>
      <c r="E33" s="315"/>
      <c r="F33" s="315"/>
      <c r="G33" s="315"/>
      <c r="H33" s="314">
        <f>I33+J33+K33+L33</f>
        <v>0</v>
      </c>
      <c r="I33" s="315"/>
      <c r="J33" s="315"/>
      <c r="K33" s="315"/>
      <c r="L33" s="315"/>
    </row>
    <row r="34" spans="1:12" ht="15.75">
      <c r="A34" s="311" t="s">
        <v>381</v>
      </c>
      <c r="B34" s="310" t="s">
        <v>359</v>
      </c>
      <c r="C34" s="314">
        <f>D34+E34+F34+G34</f>
        <v>0</v>
      </c>
      <c r="D34" s="315"/>
      <c r="E34" s="315"/>
      <c r="F34" s="315"/>
      <c r="G34" s="315"/>
      <c r="H34" s="314">
        <f>I34+J34+K34+L34</f>
        <v>0</v>
      </c>
      <c r="I34" s="315"/>
      <c r="J34" s="315"/>
      <c r="K34" s="315"/>
      <c r="L34" s="315"/>
    </row>
    <row r="35" spans="1:12" ht="15.75">
      <c r="A35" s="311" t="s">
        <v>382</v>
      </c>
      <c r="B35" s="310" t="s">
        <v>360</v>
      </c>
      <c r="C35" s="314">
        <v>2.7</v>
      </c>
      <c r="D35" s="315"/>
      <c r="E35" s="315"/>
      <c r="F35" s="315"/>
      <c r="G35" s="315"/>
      <c r="H35" s="314">
        <v>3.25</v>
      </c>
      <c r="I35" s="315"/>
      <c r="J35" s="315"/>
      <c r="K35" s="315"/>
      <c r="L35" s="315"/>
    </row>
    <row r="36" spans="1:12" s="307" customFormat="1" ht="15.75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4"/>
    </row>
    <row r="37" spans="1:12" s="307" customFormat="1" ht="31.5">
      <c r="A37" s="313" t="s">
        <v>33</v>
      </c>
      <c r="B37" s="313" t="s">
        <v>169</v>
      </c>
      <c r="C37" s="309">
        <f aca="true" t="shared" si="2" ref="C37:L37">IF(C17&gt;0,C31*1000/C17,0)</f>
        <v>7086.092715231788</v>
      </c>
      <c r="D37" s="309">
        <f t="shared" si="2"/>
        <v>0</v>
      </c>
      <c r="E37" s="309">
        <f t="shared" si="2"/>
        <v>0</v>
      </c>
      <c r="F37" s="309">
        <f t="shared" si="2"/>
        <v>2506.8870523415976</v>
      </c>
      <c r="G37" s="309">
        <f t="shared" si="2"/>
        <v>0</v>
      </c>
      <c r="H37" s="309">
        <f t="shared" si="2"/>
        <v>3754.0603248259863</v>
      </c>
      <c r="I37" s="309">
        <f t="shared" si="2"/>
        <v>0</v>
      </c>
      <c r="J37" s="309">
        <f t="shared" si="2"/>
        <v>0</v>
      </c>
      <c r="K37" s="309">
        <f t="shared" si="2"/>
        <v>1303.7249283667622</v>
      </c>
      <c r="L37" s="309">
        <f t="shared" si="2"/>
        <v>0</v>
      </c>
    </row>
    <row r="38" spans="1:12" s="106" customFormat="1" ht="15.75">
      <c r="A38" s="69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2" s="122" customFormat="1" ht="15.75">
      <c r="A39" s="69"/>
      <c r="B39" s="121" t="s">
        <v>247</v>
      </c>
      <c r="C39" s="145" t="s">
        <v>309</v>
      </c>
      <c r="D39" s="121"/>
      <c r="E39" s="105" t="s">
        <v>400</v>
      </c>
      <c r="F39" s="105"/>
      <c r="G39" s="105"/>
      <c r="H39" s="105"/>
      <c r="I39" s="105"/>
      <c r="J39" s="105"/>
      <c r="K39" s="105"/>
      <c r="L39" s="105"/>
    </row>
    <row r="40" spans="1:12" s="122" customFormat="1" ht="15.75">
      <c r="A40" s="69"/>
      <c r="B40" s="121"/>
      <c r="C40" s="123" t="s">
        <v>245</v>
      </c>
      <c r="E40" s="123" t="s">
        <v>246</v>
      </c>
      <c r="F40" s="105"/>
      <c r="G40" s="105"/>
      <c r="H40" s="105"/>
      <c r="I40" s="105"/>
      <c r="J40" s="105"/>
      <c r="K40" s="105"/>
      <c r="L40" s="105"/>
    </row>
    <row r="41" spans="1:12" s="106" customFormat="1" ht="15.75">
      <c r="A41" s="69"/>
      <c r="B41" s="104"/>
      <c r="C41" s="408"/>
      <c r="D41" s="408"/>
      <c r="E41" s="105"/>
      <c r="F41" s="105"/>
      <c r="G41" s="105"/>
      <c r="H41" s="105"/>
      <c r="I41" s="105"/>
      <c r="J41" s="105"/>
      <c r="K41" s="105"/>
      <c r="L41" s="105"/>
    </row>
    <row r="42" spans="1:12" s="106" customFormat="1" ht="15.75">
      <c r="A42" s="69"/>
      <c r="B42" s="233" t="s">
        <v>145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ht="12.75">
      <c r="B43" s="100" t="s">
        <v>341</v>
      </c>
    </row>
    <row r="44" ht="12.75">
      <c r="B44" s="100" t="s">
        <v>342</v>
      </c>
    </row>
    <row r="45" ht="12.75">
      <c r="B45" s="100" t="s">
        <v>343</v>
      </c>
    </row>
    <row r="46" ht="12.75">
      <c r="B46" s="100" t="s">
        <v>344</v>
      </c>
    </row>
  </sheetData>
  <sheetProtection/>
  <mergeCells count="14">
    <mergeCell ref="H5:L5"/>
    <mergeCell ref="C6:C7"/>
    <mergeCell ref="A21:L21"/>
    <mergeCell ref="A36:L36"/>
    <mergeCell ref="D6:G6"/>
    <mergeCell ref="B5:B7"/>
    <mergeCell ref="C5:G5"/>
    <mergeCell ref="A5:A7"/>
    <mergeCell ref="C41:D41"/>
    <mergeCell ref="J1:L1"/>
    <mergeCell ref="B2:L2"/>
    <mergeCell ref="A3:L3"/>
    <mergeCell ref="H6:H7"/>
    <mergeCell ref="I6:L6"/>
  </mergeCells>
  <printOptions/>
  <pageMargins left="0.3937007874015748" right="0.3937007874015748" top="0.7874015748031497" bottom="0.1968503937007874" header="0.1968503937007874" footer="0.196850393700787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78"/>
  <sheetViews>
    <sheetView showGridLines="0" view="pageBreakPreview" zoomScale="115" zoomScaleSheetLayoutView="115" zoomScalePageLayoutView="0" workbookViewId="0" topLeftCell="A1">
      <selection activeCell="L74" sqref="L74"/>
    </sheetView>
  </sheetViews>
  <sheetFormatPr defaultColWidth="9.00390625" defaultRowHeight="12.75" outlineLevelRow="1"/>
  <cols>
    <col min="1" max="1" width="4.00390625" style="320" customWidth="1"/>
    <col min="2" max="2" width="22.125" style="320" customWidth="1"/>
    <col min="3" max="7" width="7.00390625" style="320" customWidth="1"/>
    <col min="8" max="12" width="7.625" style="320" customWidth="1"/>
    <col min="13" max="13" width="12.875" style="320" customWidth="1"/>
    <col min="14" max="18" width="9.00390625" style="320" customWidth="1"/>
    <col min="19" max="16384" width="9.375" style="320" customWidth="1"/>
  </cols>
  <sheetData>
    <row r="1" spans="1:18" ht="15.75">
      <c r="A1" s="319" t="str">
        <f>+Заполнить!C2</f>
        <v>МУП "Тепловодоснабжение" </v>
      </c>
      <c r="R1" s="321" t="s">
        <v>308</v>
      </c>
    </row>
    <row r="3" spans="1:18" ht="16.5">
      <c r="A3" s="419" t="s">
        <v>15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</row>
    <row r="5" spans="1:18" ht="25.5" customHeight="1">
      <c r="A5" s="420" t="s">
        <v>315</v>
      </c>
      <c r="B5" s="420" t="s">
        <v>16</v>
      </c>
      <c r="C5" s="420" t="s">
        <v>17</v>
      </c>
      <c r="D5" s="420"/>
      <c r="E5" s="420"/>
      <c r="F5" s="420"/>
      <c r="G5" s="420"/>
      <c r="H5" s="420" t="s">
        <v>18</v>
      </c>
      <c r="I5" s="420"/>
      <c r="J5" s="420"/>
      <c r="K5" s="420"/>
      <c r="L5" s="420"/>
      <c r="M5" s="420" t="s">
        <v>19</v>
      </c>
      <c r="N5" s="421" t="s">
        <v>20</v>
      </c>
      <c r="O5" s="421"/>
      <c r="P5" s="421"/>
      <c r="Q5" s="421"/>
      <c r="R5" s="421"/>
    </row>
    <row r="6" spans="1:18" ht="12.75">
      <c r="A6" s="420"/>
      <c r="B6" s="420"/>
      <c r="C6" s="322" t="s">
        <v>21</v>
      </c>
      <c r="D6" s="322" t="s">
        <v>4</v>
      </c>
      <c r="E6" s="322" t="s">
        <v>157</v>
      </c>
      <c r="F6" s="322" t="s">
        <v>158</v>
      </c>
      <c r="G6" s="322" t="s">
        <v>5</v>
      </c>
      <c r="H6" s="322" t="s">
        <v>21</v>
      </c>
      <c r="I6" s="322" t="s">
        <v>4</v>
      </c>
      <c r="J6" s="322" t="s">
        <v>157</v>
      </c>
      <c r="K6" s="322" t="s">
        <v>158</v>
      </c>
      <c r="L6" s="322" t="s">
        <v>5</v>
      </c>
      <c r="M6" s="420"/>
      <c r="N6" s="322" t="s">
        <v>21</v>
      </c>
      <c r="O6" s="322" t="s">
        <v>4</v>
      </c>
      <c r="P6" s="322" t="s">
        <v>157</v>
      </c>
      <c r="Q6" s="322" t="s">
        <v>158</v>
      </c>
      <c r="R6" s="322" t="s">
        <v>5</v>
      </c>
    </row>
    <row r="7" spans="1:18" ht="12.75">
      <c r="A7" s="323">
        <v>1</v>
      </c>
      <c r="B7" s="323">
        <f aca="true" t="shared" si="0" ref="B7:R7">+A7+1</f>
        <v>2</v>
      </c>
      <c r="C7" s="323">
        <f t="shared" si="0"/>
        <v>3</v>
      </c>
      <c r="D7" s="323">
        <f t="shared" si="0"/>
        <v>4</v>
      </c>
      <c r="E7" s="323">
        <f t="shared" si="0"/>
        <v>5</v>
      </c>
      <c r="F7" s="323">
        <f t="shared" si="0"/>
        <v>6</v>
      </c>
      <c r="G7" s="323">
        <f t="shared" si="0"/>
        <v>7</v>
      </c>
      <c r="H7" s="323">
        <f t="shared" si="0"/>
        <v>8</v>
      </c>
      <c r="I7" s="323">
        <f t="shared" si="0"/>
        <v>9</v>
      </c>
      <c r="J7" s="323">
        <f t="shared" si="0"/>
        <v>10</v>
      </c>
      <c r="K7" s="323">
        <f t="shared" si="0"/>
        <v>11</v>
      </c>
      <c r="L7" s="323">
        <f t="shared" si="0"/>
        <v>12</v>
      </c>
      <c r="M7" s="323">
        <f t="shared" si="0"/>
        <v>13</v>
      </c>
      <c r="N7" s="323">
        <f t="shared" si="0"/>
        <v>14</v>
      </c>
      <c r="O7" s="323">
        <f t="shared" si="0"/>
        <v>15</v>
      </c>
      <c r="P7" s="323">
        <f t="shared" si="0"/>
        <v>16</v>
      </c>
      <c r="Q7" s="323">
        <f t="shared" si="0"/>
        <v>17</v>
      </c>
      <c r="R7" s="323">
        <f t="shared" si="0"/>
        <v>18</v>
      </c>
    </row>
    <row r="8" spans="1:18" ht="12.75">
      <c r="A8" s="415">
        <v>2017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7"/>
    </row>
    <row r="9" spans="1:18" ht="25.5">
      <c r="A9" s="2" t="s">
        <v>12</v>
      </c>
      <c r="B9" s="6" t="s">
        <v>384</v>
      </c>
      <c r="C9" s="62">
        <f>D9+E9+F9+G9</f>
        <v>32.1</v>
      </c>
      <c r="D9" s="62">
        <f aca="true" t="shared" si="1" ref="D9:M9">SUM(D10:D13)</f>
        <v>0</v>
      </c>
      <c r="E9" s="62">
        <f t="shared" si="1"/>
        <v>0</v>
      </c>
      <c r="F9" s="62">
        <f t="shared" si="1"/>
        <v>7.2</v>
      </c>
      <c r="G9" s="62">
        <f t="shared" si="1"/>
        <v>24.9</v>
      </c>
      <c r="H9" s="62">
        <f t="shared" si="1"/>
        <v>4.53</v>
      </c>
      <c r="I9" s="62">
        <f t="shared" si="1"/>
        <v>0</v>
      </c>
      <c r="J9" s="62">
        <f t="shared" si="1"/>
        <v>0</v>
      </c>
      <c r="K9" s="62">
        <f t="shared" si="1"/>
        <v>4.53</v>
      </c>
      <c r="L9" s="62">
        <f t="shared" si="1"/>
        <v>0</v>
      </c>
      <c r="M9" s="5">
        <f t="shared" si="1"/>
        <v>4353.200883002207</v>
      </c>
      <c r="N9" s="326">
        <f>C9/C9</f>
        <v>1</v>
      </c>
      <c r="O9" s="326">
        <f>D9/C9</f>
        <v>0</v>
      </c>
      <c r="P9" s="326">
        <f>E9/C9</f>
        <v>0</v>
      </c>
      <c r="Q9" s="326">
        <f>F9/C9</f>
        <v>0.22429906542056074</v>
      </c>
      <c r="R9" s="326">
        <f>G9/C9</f>
        <v>0.7757009345794392</v>
      </c>
    </row>
    <row r="10" spans="1:18" ht="12.75">
      <c r="A10" s="2"/>
      <c r="B10" s="327" t="s">
        <v>23</v>
      </c>
      <c r="C10" s="62">
        <f>G10</f>
        <v>19.72</v>
      </c>
      <c r="D10" s="327"/>
      <c r="E10" s="327"/>
      <c r="F10" s="327"/>
      <c r="G10" s="327">
        <v>19.72</v>
      </c>
      <c r="H10" s="62">
        <f>SUM(I10:L10)</f>
        <v>4.53</v>
      </c>
      <c r="I10" s="327"/>
      <c r="J10" s="327"/>
      <c r="K10" s="327">
        <v>4.53</v>
      </c>
      <c r="L10" s="327"/>
      <c r="M10" s="5">
        <f>IF(H10&gt;0,C10*1000/H10,0)</f>
        <v>4353.200883002207</v>
      </c>
      <c r="N10" s="326">
        <f>C10/C10</f>
        <v>1</v>
      </c>
      <c r="O10" s="326">
        <f>D10/C10</f>
        <v>0</v>
      </c>
      <c r="P10" s="326">
        <f>E10/C10</f>
        <v>0</v>
      </c>
      <c r="Q10" s="326">
        <f>F10/C10</f>
        <v>0</v>
      </c>
      <c r="R10" s="326">
        <f>G10/C10</f>
        <v>1</v>
      </c>
    </row>
    <row r="11" spans="1:18" ht="25.5">
      <c r="A11" s="2"/>
      <c r="B11" s="376" t="s">
        <v>384</v>
      </c>
      <c r="C11" s="62">
        <f>F11+G11</f>
        <v>10.2</v>
      </c>
      <c r="D11" s="327"/>
      <c r="E11" s="327"/>
      <c r="F11" s="327">
        <v>7.2</v>
      </c>
      <c r="G11" s="327">
        <v>3</v>
      </c>
      <c r="H11" s="62">
        <f>SUM(I11:L11)</f>
        <v>0</v>
      </c>
      <c r="I11" s="327"/>
      <c r="J11" s="327"/>
      <c r="K11" s="327"/>
      <c r="L11" s="327"/>
      <c r="M11" s="5">
        <f>IF(H11&gt;0,C11*1000/H11,0)</f>
        <v>0</v>
      </c>
      <c r="N11" s="326">
        <f>C11/C11</f>
        <v>1</v>
      </c>
      <c r="O11" s="326">
        <f>D11/C11</f>
        <v>0</v>
      </c>
      <c r="P11" s="326">
        <f>E11/C11</f>
        <v>0</v>
      </c>
      <c r="Q11" s="326">
        <f>F11/C11</f>
        <v>0.7058823529411765</v>
      </c>
      <c r="R11" s="326">
        <f>G11/C11</f>
        <v>0.29411764705882354</v>
      </c>
    </row>
    <row r="12" spans="1:18" ht="12.75">
      <c r="A12" s="2"/>
      <c r="B12" s="327" t="s">
        <v>399</v>
      </c>
      <c r="C12" s="62">
        <f>G12</f>
        <v>2.18</v>
      </c>
      <c r="D12" s="327"/>
      <c r="E12" s="327"/>
      <c r="F12" s="327"/>
      <c r="G12" s="327">
        <v>2.18</v>
      </c>
      <c r="H12" s="62">
        <f>SUM(I12:L12)</f>
        <v>0</v>
      </c>
      <c r="I12" s="327"/>
      <c r="J12" s="327"/>
      <c r="K12" s="327"/>
      <c r="L12" s="327"/>
      <c r="M12" s="5">
        <f>IF(H12&gt;0,C12*1000/H12,0)</f>
        <v>0</v>
      </c>
      <c r="N12" s="326">
        <f>C12/C12</f>
        <v>1</v>
      </c>
      <c r="O12" s="326">
        <f>D12/C12</f>
        <v>0</v>
      </c>
      <c r="P12" s="326">
        <f>E12/C12</f>
        <v>0</v>
      </c>
      <c r="Q12" s="326">
        <f>F12/C12</f>
        <v>0</v>
      </c>
      <c r="R12" s="326">
        <f>G12/C12</f>
        <v>1</v>
      </c>
    </row>
    <row r="13" spans="1:18" ht="12.75">
      <c r="A13" s="2"/>
      <c r="B13" s="327"/>
      <c r="C13" s="62"/>
      <c r="D13" s="327"/>
      <c r="E13" s="327"/>
      <c r="F13" s="327"/>
      <c r="G13" s="327"/>
      <c r="H13" s="62"/>
      <c r="I13" s="327"/>
      <c r="J13" s="327"/>
      <c r="K13" s="327"/>
      <c r="L13" s="327"/>
      <c r="M13" s="5">
        <f>IF(H13&gt;0,C13*1000/H13,0)</f>
        <v>0</v>
      </c>
      <c r="N13" s="326"/>
      <c r="O13" s="326"/>
      <c r="P13" s="326"/>
      <c r="Q13" s="326"/>
      <c r="R13" s="326"/>
    </row>
    <row r="14" spans="1:18" ht="38.25" hidden="1" outlineLevel="1">
      <c r="A14" s="2" t="s">
        <v>24</v>
      </c>
      <c r="B14" s="6" t="s">
        <v>25</v>
      </c>
      <c r="C14" s="3">
        <f>SUM(D14:G14)</f>
        <v>0</v>
      </c>
      <c r="D14" s="3"/>
      <c r="E14" s="3"/>
      <c r="F14" s="3"/>
      <c r="G14" s="3"/>
      <c r="H14" s="3">
        <f>SUM(I14:L14)</f>
        <v>0</v>
      </c>
      <c r="I14" s="3"/>
      <c r="J14" s="3"/>
      <c r="K14" s="3"/>
      <c r="L14" s="3"/>
      <c r="M14" s="5"/>
      <c r="N14" s="3"/>
      <c r="O14" s="4"/>
      <c r="P14" s="4"/>
      <c r="Q14" s="4"/>
      <c r="R14" s="4"/>
    </row>
    <row r="15" spans="1:18" ht="12.75" collapsed="1">
      <c r="A15" s="415">
        <v>2018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7"/>
    </row>
    <row r="16" spans="1:18" ht="12.75" hidden="1" outlineLevel="1">
      <c r="A16" s="2" t="s">
        <v>7</v>
      </c>
      <c r="B16" s="3" t="s">
        <v>22</v>
      </c>
      <c r="C16" s="4">
        <f aca="true" t="shared" si="2" ref="C16:L16">SUM(C17:C19)</f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3"/>
      <c r="N16" s="3"/>
      <c r="O16" s="3"/>
      <c r="P16" s="3"/>
      <c r="Q16" s="3"/>
      <c r="R16" s="3"/>
    </row>
    <row r="17" spans="1:18" ht="12.75" hidden="1" outlineLevel="1">
      <c r="A17" s="2"/>
      <c r="B17" s="3" t="s">
        <v>152</v>
      </c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hidden="1" outlineLevel="1">
      <c r="A18" s="2"/>
      <c r="B18" s="3" t="s">
        <v>153</v>
      </c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hidden="1" outlineLevel="1">
      <c r="A19" s="2"/>
      <c r="B19" s="3" t="s">
        <v>154</v>
      </c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</row>
    <row r="20" spans="1:18" ht="12.75" hidden="1" outlineLevel="1">
      <c r="A20" s="2"/>
      <c r="B20" s="3" t="s">
        <v>8</v>
      </c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hidden="1" outlineLevel="1">
      <c r="A21" s="2" t="s">
        <v>11</v>
      </c>
      <c r="B21" s="3" t="s">
        <v>23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5"/>
      <c r="N21" s="3"/>
      <c r="O21" s="4"/>
      <c r="P21" s="4"/>
      <c r="Q21" s="4"/>
      <c r="R21" s="4"/>
    </row>
    <row r="22" spans="1:18" ht="25.5" collapsed="1">
      <c r="A22" s="2" t="s">
        <v>12</v>
      </c>
      <c r="B22" s="6" t="s">
        <v>384</v>
      </c>
      <c r="C22" s="62">
        <f>D22+E22+F22+G22</f>
        <v>32.36</v>
      </c>
      <c r="D22" s="62">
        <f>SUM(D23:D26)</f>
        <v>0</v>
      </c>
      <c r="E22" s="62">
        <f>SUM(E23:E26)</f>
        <v>0</v>
      </c>
      <c r="F22" s="62">
        <f>SUM(F23:F26)</f>
        <v>7.2</v>
      </c>
      <c r="G22" s="62">
        <f>G23+G24+G25</f>
        <v>25.16</v>
      </c>
      <c r="H22" s="62">
        <f aca="true" t="shared" si="3" ref="H22:M22">SUM(H23:H26)</f>
        <v>8.62</v>
      </c>
      <c r="I22" s="62">
        <f t="shared" si="3"/>
        <v>0</v>
      </c>
      <c r="J22" s="62">
        <f t="shared" si="3"/>
        <v>0</v>
      </c>
      <c r="K22" s="62">
        <f t="shared" si="3"/>
        <v>1.82</v>
      </c>
      <c r="L22" s="62">
        <f t="shared" si="3"/>
        <v>6.8</v>
      </c>
      <c r="M22" s="5">
        <f t="shared" si="3"/>
        <v>8542.630898513251</v>
      </c>
      <c r="N22" s="326">
        <f>C22/C22</f>
        <v>1</v>
      </c>
      <c r="O22" s="326">
        <f>D22/C22</f>
        <v>0</v>
      </c>
      <c r="P22" s="326">
        <f>E22/C22</f>
        <v>0</v>
      </c>
      <c r="Q22" s="326">
        <f>F22/C22</f>
        <v>0.22249690976514216</v>
      </c>
      <c r="R22" s="326">
        <f>G22/C22</f>
        <v>0.7775030902348579</v>
      </c>
    </row>
    <row r="23" spans="1:18" ht="12.75">
      <c r="A23" s="2"/>
      <c r="B23" s="327" t="s">
        <v>23</v>
      </c>
      <c r="C23" s="62">
        <f>G23</f>
        <v>19.98</v>
      </c>
      <c r="D23" s="327"/>
      <c r="E23" s="327"/>
      <c r="F23" s="327"/>
      <c r="G23" s="327">
        <v>19.98</v>
      </c>
      <c r="H23" s="62">
        <f>SUM(I23:L23)</f>
        <v>6.8</v>
      </c>
      <c r="I23" s="327"/>
      <c r="J23" s="327"/>
      <c r="K23" s="327"/>
      <c r="L23" s="327">
        <v>6.8</v>
      </c>
      <c r="M23" s="5">
        <f>IF(H23&gt;0,C23*1000/H23,0)</f>
        <v>2938.2352941176473</v>
      </c>
      <c r="N23" s="326">
        <f>C23/C23</f>
        <v>1</v>
      </c>
      <c r="O23" s="326">
        <f>D23/C23</f>
        <v>0</v>
      </c>
      <c r="P23" s="326">
        <f>E23/C23</f>
        <v>0</v>
      </c>
      <c r="Q23" s="326">
        <f>F23/C23</f>
        <v>0</v>
      </c>
      <c r="R23" s="326">
        <f>G23/C23</f>
        <v>1</v>
      </c>
    </row>
    <row r="24" spans="1:18" ht="25.5">
      <c r="A24" s="2"/>
      <c r="B24" s="376" t="s">
        <v>384</v>
      </c>
      <c r="C24" s="62">
        <f>F24+G24</f>
        <v>10.2</v>
      </c>
      <c r="D24" s="327"/>
      <c r="E24" s="327"/>
      <c r="F24" s="327">
        <v>7.2</v>
      </c>
      <c r="G24" s="327">
        <v>3</v>
      </c>
      <c r="H24" s="62">
        <f>SUM(I24:L24)</f>
        <v>1.82</v>
      </c>
      <c r="I24" s="327"/>
      <c r="J24" s="327"/>
      <c r="K24" s="327">
        <v>1.82</v>
      </c>
      <c r="L24" s="327"/>
      <c r="M24" s="5">
        <f>IF(H24&gt;0,C24*1000/H24,0)</f>
        <v>5604.395604395604</v>
      </c>
      <c r="N24" s="326">
        <f>C24/C24</f>
        <v>1</v>
      </c>
      <c r="O24" s="326">
        <f>D24/C24</f>
        <v>0</v>
      </c>
      <c r="P24" s="326">
        <f>E24/C24</f>
        <v>0</v>
      </c>
      <c r="Q24" s="326">
        <f>F24/C24</f>
        <v>0.7058823529411765</v>
      </c>
      <c r="R24" s="326">
        <f>G24/C24</f>
        <v>0.29411764705882354</v>
      </c>
    </row>
    <row r="25" spans="1:18" ht="12.75">
      <c r="A25" s="2"/>
      <c r="B25" s="327" t="s">
        <v>399</v>
      </c>
      <c r="C25" s="62">
        <f>G25</f>
        <v>2.18</v>
      </c>
      <c r="D25" s="327"/>
      <c r="E25" s="327"/>
      <c r="F25" s="327"/>
      <c r="G25" s="327">
        <v>2.18</v>
      </c>
      <c r="H25" s="62">
        <f>SUM(I25:L25)</f>
        <v>0</v>
      </c>
      <c r="I25" s="327"/>
      <c r="J25" s="327"/>
      <c r="K25" s="327"/>
      <c r="L25" s="327"/>
      <c r="M25" s="5">
        <f>IF(H25&gt;0,C25*1000/H25,0)</f>
        <v>0</v>
      </c>
      <c r="N25" s="326">
        <f>C25/C25</f>
        <v>1</v>
      </c>
      <c r="O25" s="326">
        <f>D25/C25</f>
        <v>0</v>
      </c>
      <c r="P25" s="326">
        <f>E25/C25</f>
        <v>0</v>
      </c>
      <c r="Q25" s="326">
        <f>F25/C25</f>
        <v>0</v>
      </c>
      <c r="R25" s="326">
        <f>G25/C25</f>
        <v>1</v>
      </c>
    </row>
    <row r="26" spans="1:18" ht="12.75">
      <c r="A26" s="2"/>
      <c r="B26" s="327"/>
      <c r="C26" s="62"/>
      <c r="D26" s="327"/>
      <c r="E26" s="327"/>
      <c r="F26" s="327"/>
      <c r="G26" s="327"/>
      <c r="H26" s="62"/>
      <c r="I26" s="327"/>
      <c r="J26" s="327"/>
      <c r="K26" s="327"/>
      <c r="L26" s="327"/>
      <c r="M26" s="5">
        <f>IF(H26&gt;0,C26*1000/H26,0)</f>
        <v>0</v>
      </c>
      <c r="N26" s="326"/>
      <c r="O26" s="326"/>
      <c r="P26" s="326"/>
      <c r="Q26" s="326"/>
      <c r="R26" s="326"/>
    </row>
    <row r="27" spans="1:18" ht="38.25" hidden="1" outlineLevel="1">
      <c r="A27" s="2" t="s">
        <v>24</v>
      </c>
      <c r="B27" s="6" t="s">
        <v>25</v>
      </c>
      <c r="C27" s="3">
        <f>SUM(D27:G27)</f>
        <v>0</v>
      </c>
      <c r="D27" s="3"/>
      <c r="E27" s="3"/>
      <c r="F27" s="3"/>
      <c r="G27" s="3"/>
      <c r="H27" s="3">
        <f>SUM(I27:L27)</f>
        <v>0</v>
      </c>
      <c r="I27" s="3"/>
      <c r="J27" s="3"/>
      <c r="K27" s="3"/>
      <c r="L27" s="3"/>
      <c r="M27" s="5"/>
      <c r="N27" s="3"/>
      <c r="O27" s="4"/>
      <c r="P27" s="4"/>
      <c r="Q27" s="4"/>
      <c r="R27" s="4"/>
    </row>
    <row r="28" spans="1:18" ht="12.75" collapsed="1">
      <c r="A28" s="415">
        <v>2019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7"/>
    </row>
    <row r="29" spans="1:18" ht="12.75" hidden="1" outlineLevel="1">
      <c r="A29" s="2" t="s">
        <v>7</v>
      </c>
      <c r="B29" s="3" t="s">
        <v>22</v>
      </c>
      <c r="C29" s="4">
        <f aca="true" t="shared" si="4" ref="C29:L29">SUM(C30:C32)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3"/>
      <c r="N29" s="3"/>
      <c r="O29" s="3"/>
      <c r="P29" s="3"/>
      <c r="Q29" s="3"/>
      <c r="R29" s="3"/>
    </row>
    <row r="30" spans="1:18" ht="12.75" hidden="1" outlineLevel="1">
      <c r="A30" s="2"/>
      <c r="B30" s="3" t="s">
        <v>152</v>
      </c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</row>
    <row r="31" spans="1:18" ht="12.75" hidden="1" outlineLevel="1">
      <c r="A31" s="2"/>
      <c r="B31" s="3" t="s">
        <v>153</v>
      </c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</row>
    <row r="32" spans="1:18" ht="12.75" hidden="1" outlineLevel="1">
      <c r="A32" s="2"/>
      <c r="B32" s="3" t="s">
        <v>154</v>
      </c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</row>
    <row r="33" spans="1:18" ht="12.75" hidden="1" outlineLevel="1">
      <c r="A33" s="2"/>
      <c r="B33" s="3" t="s">
        <v>8</v>
      </c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</row>
    <row r="34" spans="1:18" ht="12.75" hidden="1" outlineLevel="1">
      <c r="A34" s="2" t="s">
        <v>11</v>
      </c>
      <c r="B34" s="3" t="s">
        <v>23</v>
      </c>
      <c r="C34" s="4"/>
      <c r="D34" s="3"/>
      <c r="E34" s="3"/>
      <c r="F34" s="3"/>
      <c r="G34" s="3"/>
      <c r="H34" s="3"/>
      <c r="I34" s="3"/>
      <c r="J34" s="3"/>
      <c r="K34" s="3"/>
      <c r="L34" s="3"/>
      <c r="M34" s="5"/>
      <c r="N34" s="3"/>
      <c r="O34" s="4"/>
      <c r="P34" s="4"/>
      <c r="Q34" s="4"/>
      <c r="R34" s="4"/>
    </row>
    <row r="35" spans="1:18" ht="25.5" collapsed="1">
      <c r="A35" s="2" t="s">
        <v>12</v>
      </c>
      <c r="B35" s="6" t="s">
        <v>384</v>
      </c>
      <c r="C35" s="62">
        <f>D35+E35+F35+G35</f>
        <v>32.56</v>
      </c>
      <c r="D35" s="62">
        <f>SUM(D36:D39)</f>
        <v>0</v>
      </c>
      <c r="E35" s="62">
        <f>SUM(E36:E39)</f>
        <v>0</v>
      </c>
      <c r="F35" s="62">
        <f>SUM(F36:F39)</f>
        <v>7.2</v>
      </c>
      <c r="G35" s="62">
        <f>G36+G37+G38</f>
        <v>25.36</v>
      </c>
      <c r="H35" s="62">
        <f aca="true" t="shared" si="5" ref="H35:M35">SUM(H36:H39)</f>
        <v>9.05</v>
      </c>
      <c r="I35" s="62">
        <f t="shared" si="5"/>
        <v>0</v>
      </c>
      <c r="J35" s="62">
        <f t="shared" si="5"/>
        <v>0</v>
      </c>
      <c r="K35" s="62">
        <f t="shared" si="5"/>
        <v>2.05</v>
      </c>
      <c r="L35" s="62">
        <f t="shared" si="5"/>
        <v>7</v>
      </c>
      <c r="M35" s="5">
        <f t="shared" si="5"/>
        <v>7858.466898954704</v>
      </c>
      <c r="N35" s="326">
        <f>C35/C35</f>
        <v>1</v>
      </c>
      <c r="O35" s="326">
        <f>D35/C35</f>
        <v>0</v>
      </c>
      <c r="P35" s="326">
        <f>E35/C35</f>
        <v>0</v>
      </c>
      <c r="Q35" s="326">
        <f>F35/C35</f>
        <v>0.22113022113022113</v>
      </c>
      <c r="R35" s="326">
        <f>G35/C35</f>
        <v>0.7788697788697788</v>
      </c>
    </row>
    <row r="36" spans="1:18" ht="12.75">
      <c r="A36" s="2"/>
      <c r="B36" s="327" t="s">
        <v>23</v>
      </c>
      <c r="C36" s="62">
        <f>G36</f>
        <v>20.18</v>
      </c>
      <c r="D36" s="327"/>
      <c r="E36" s="327"/>
      <c r="F36" s="327"/>
      <c r="G36" s="327">
        <v>20.18</v>
      </c>
      <c r="H36" s="62">
        <f>SUM(I36:L36)</f>
        <v>7</v>
      </c>
      <c r="I36" s="327"/>
      <c r="J36" s="327"/>
      <c r="K36" s="327"/>
      <c r="L36" s="327">
        <v>7</v>
      </c>
      <c r="M36" s="5">
        <f>IF(H36&gt;0,C36*1000/H36,0)</f>
        <v>2882.8571428571427</v>
      </c>
      <c r="N36" s="326">
        <f>C36/C36</f>
        <v>1</v>
      </c>
      <c r="O36" s="326">
        <f>D36/C36</f>
        <v>0</v>
      </c>
      <c r="P36" s="326">
        <f>E36/C36</f>
        <v>0</v>
      </c>
      <c r="Q36" s="326">
        <f>F36/C36</f>
        <v>0</v>
      </c>
      <c r="R36" s="326">
        <f>G36/C36</f>
        <v>1</v>
      </c>
    </row>
    <row r="37" spans="1:18" ht="25.5">
      <c r="A37" s="2"/>
      <c r="B37" s="376" t="s">
        <v>384</v>
      </c>
      <c r="C37" s="62">
        <f>F37+G37</f>
        <v>10.2</v>
      </c>
      <c r="D37" s="327"/>
      <c r="E37" s="327"/>
      <c r="F37" s="327">
        <v>7.2</v>
      </c>
      <c r="G37" s="327">
        <v>3</v>
      </c>
      <c r="H37" s="62">
        <f>SUM(I37:L37)</f>
        <v>2.05</v>
      </c>
      <c r="I37" s="327"/>
      <c r="J37" s="327"/>
      <c r="K37" s="327">
        <v>2.05</v>
      </c>
      <c r="L37" s="327"/>
      <c r="M37" s="5">
        <f>IF(H37&gt;0,C37*1000/H37,0)</f>
        <v>4975.609756097561</v>
      </c>
      <c r="N37" s="326">
        <f>C37/C37</f>
        <v>1</v>
      </c>
      <c r="O37" s="326">
        <f>D37/C37</f>
        <v>0</v>
      </c>
      <c r="P37" s="326">
        <f>E37/C37</f>
        <v>0</v>
      </c>
      <c r="Q37" s="326">
        <f>F37/C37</f>
        <v>0.7058823529411765</v>
      </c>
      <c r="R37" s="326">
        <f>G37/C37</f>
        <v>0.29411764705882354</v>
      </c>
    </row>
    <row r="38" spans="1:18" ht="12.75">
      <c r="A38" s="2"/>
      <c r="B38" s="327" t="s">
        <v>399</v>
      </c>
      <c r="C38" s="62">
        <f>G38</f>
        <v>2.18</v>
      </c>
      <c r="D38" s="327"/>
      <c r="E38" s="327"/>
      <c r="F38" s="327"/>
      <c r="G38" s="327">
        <v>2.18</v>
      </c>
      <c r="H38" s="62">
        <f>SUM(I38:L38)</f>
        <v>0</v>
      </c>
      <c r="I38" s="327"/>
      <c r="J38" s="327"/>
      <c r="K38" s="327"/>
      <c r="L38" s="327"/>
      <c r="M38" s="5">
        <f>IF(H38&gt;0,C38*1000/H38,0)</f>
        <v>0</v>
      </c>
      <c r="N38" s="326">
        <f>C38/C38</f>
        <v>1</v>
      </c>
      <c r="O38" s="326">
        <f>D38/C38</f>
        <v>0</v>
      </c>
      <c r="P38" s="326">
        <f>E38/C38</f>
        <v>0</v>
      </c>
      <c r="Q38" s="326">
        <f>F38/C38</f>
        <v>0</v>
      </c>
      <c r="R38" s="326">
        <f>G38/C38</f>
        <v>1</v>
      </c>
    </row>
    <row r="39" spans="1:18" ht="12.75">
      <c r="A39" s="2"/>
      <c r="B39" s="327"/>
      <c r="C39" s="62"/>
      <c r="D39" s="327"/>
      <c r="E39" s="327"/>
      <c r="F39" s="327"/>
      <c r="G39" s="327"/>
      <c r="H39" s="62"/>
      <c r="I39" s="327"/>
      <c r="J39" s="327"/>
      <c r="K39" s="327"/>
      <c r="L39" s="327"/>
      <c r="M39" s="5">
        <f>IF(H39&gt;0,C39*1000/H39,0)</f>
        <v>0</v>
      </c>
      <c r="N39" s="326"/>
      <c r="O39" s="326"/>
      <c r="P39" s="326"/>
      <c r="Q39" s="326"/>
      <c r="R39" s="326"/>
    </row>
    <row r="40" spans="1:18" ht="12.75" collapsed="1">
      <c r="A40" s="415">
        <v>2020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</row>
    <row r="41" spans="1:18" ht="12.75" hidden="1" outlineLevel="1">
      <c r="A41" s="2" t="s">
        <v>7</v>
      </c>
      <c r="B41" s="3" t="s">
        <v>22</v>
      </c>
      <c r="C41" s="4">
        <f aca="true" t="shared" si="6" ref="C41:L41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  <c r="G41" s="4">
        <f t="shared" si="6"/>
        <v>0</v>
      </c>
      <c r="H41" s="4">
        <f t="shared" si="6"/>
        <v>0</v>
      </c>
      <c r="I41" s="4">
        <f t="shared" si="6"/>
        <v>0</v>
      </c>
      <c r="J41" s="4">
        <f t="shared" si="6"/>
        <v>0</v>
      </c>
      <c r="K41" s="4">
        <f t="shared" si="6"/>
        <v>0</v>
      </c>
      <c r="L41" s="4">
        <f t="shared" si="6"/>
        <v>0</v>
      </c>
      <c r="M41" s="3"/>
      <c r="N41" s="3"/>
      <c r="O41" s="3"/>
      <c r="P41" s="3"/>
      <c r="Q41" s="3"/>
      <c r="R41" s="3"/>
    </row>
    <row r="42" spans="1:18" ht="12.75" hidden="1" outlineLevel="1">
      <c r="A42" s="2"/>
      <c r="B42" s="3" t="s">
        <v>152</v>
      </c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</row>
    <row r="43" spans="1:18" ht="12.75" hidden="1" outlineLevel="1">
      <c r="A43" s="2"/>
      <c r="B43" s="3" t="s">
        <v>153</v>
      </c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</row>
    <row r="44" spans="1:18" ht="12.75" hidden="1" outlineLevel="1">
      <c r="A44" s="2"/>
      <c r="B44" s="3" t="s">
        <v>154</v>
      </c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</row>
    <row r="45" spans="1:18" ht="12.75" hidden="1" outlineLevel="1">
      <c r="A45" s="2"/>
      <c r="B45" s="3" t="s">
        <v>8</v>
      </c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hidden="1" outlineLevel="1">
      <c r="A46" s="2" t="s">
        <v>11</v>
      </c>
      <c r="B46" s="3" t="s">
        <v>23</v>
      </c>
      <c r="C46" s="4"/>
      <c r="D46" s="3"/>
      <c r="E46" s="3"/>
      <c r="F46" s="3"/>
      <c r="G46" s="3"/>
      <c r="H46" s="3"/>
      <c r="I46" s="3"/>
      <c r="J46" s="3"/>
      <c r="K46" s="3"/>
      <c r="L46" s="3"/>
      <c r="M46" s="5"/>
      <c r="N46" s="3"/>
      <c r="O46" s="4"/>
      <c r="P46" s="4"/>
      <c r="Q46" s="4"/>
      <c r="R46" s="4"/>
    </row>
    <row r="47" spans="1:18" ht="25.5" collapsed="1">
      <c r="A47" s="2" t="s">
        <v>12</v>
      </c>
      <c r="B47" s="6" t="s">
        <v>384</v>
      </c>
      <c r="C47" s="62">
        <f>D47+E47+F47+G47</f>
        <v>32.76</v>
      </c>
      <c r="D47" s="62">
        <f>SUM(D48:D51)</f>
        <v>0</v>
      </c>
      <c r="E47" s="62">
        <f>SUM(E48:E51)</f>
        <v>0</v>
      </c>
      <c r="F47" s="62">
        <f>SUM(F48:F51)</f>
        <v>7.2</v>
      </c>
      <c r="G47" s="62">
        <f>G48+G49+G50</f>
        <v>25.56</v>
      </c>
      <c r="H47" s="62">
        <f aca="true" t="shared" si="7" ref="H47:M47">SUM(H48:H51)</f>
        <v>9.45</v>
      </c>
      <c r="I47" s="62">
        <f t="shared" si="7"/>
        <v>0</v>
      </c>
      <c r="J47" s="62">
        <f t="shared" si="7"/>
        <v>0</v>
      </c>
      <c r="K47" s="62">
        <f t="shared" si="7"/>
        <v>2.25</v>
      </c>
      <c r="L47" s="62">
        <f t="shared" si="7"/>
        <v>7.2</v>
      </c>
      <c r="M47" s="5">
        <f t="shared" si="7"/>
        <v>7363.888888888889</v>
      </c>
      <c r="N47" s="326">
        <f>C47/C47</f>
        <v>1</v>
      </c>
      <c r="O47" s="326">
        <f>D47/C47</f>
        <v>0</v>
      </c>
      <c r="P47" s="326">
        <f>E47/C47</f>
        <v>0</v>
      </c>
      <c r="Q47" s="326">
        <f>F47/C47</f>
        <v>0.2197802197802198</v>
      </c>
      <c r="R47" s="326">
        <f>G47/C47</f>
        <v>0.7802197802197802</v>
      </c>
    </row>
    <row r="48" spans="1:18" ht="12.75">
      <c r="A48" s="2"/>
      <c r="B48" s="327" t="s">
        <v>23</v>
      </c>
      <c r="C48" s="62">
        <f>G48</f>
        <v>20.38</v>
      </c>
      <c r="D48" s="327"/>
      <c r="E48" s="327"/>
      <c r="F48" s="327"/>
      <c r="G48" s="327">
        <v>20.38</v>
      </c>
      <c r="H48" s="62">
        <f>SUM(I48:L48)</f>
        <v>7.2</v>
      </c>
      <c r="I48" s="327"/>
      <c r="J48" s="327"/>
      <c r="K48" s="327"/>
      <c r="L48" s="327">
        <v>7.2</v>
      </c>
      <c r="M48" s="5">
        <f>IF(H48&gt;0,C48*1000/H48,0)</f>
        <v>2830.5555555555557</v>
      </c>
      <c r="N48" s="326">
        <f>C48/C48</f>
        <v>1</v>
      </c>
      <c r="O48" s="326">
        <f>D48/C48</f>
        <v>0</v>
      </c>
      <c r="P48" s="326">
        <f>E48/C48</f>
        <v>0</v>
      </c>
      <c r="Q48" s="326">
        <f>F48/C48</f>
        <v>0</v>
      </c>
      <c r="R48" s="326">
        <f>G48/C48</f>
        <v>1</v>
      </c>
    </row>
    <row r="49" spans="1:18" ht="25.5">
      <c r="A49" s="2"/>
      <c r="B49" s="376" t="s">
        <v>384</v>
      </c>
      <c r="C49" s="62">
        <f>F49+G49</f>
        <v>10.2</v>
      </c>
      <c r="D49" s="327"/>
      <c r="E49" s="327"/>
      <c r="F49" s="327">
        <v>7.2</v>
      </c>
      <c r="G49" s="327">
        <v>3</v>
      </c>
      <c r="H49" s="62">
        <f>SUM(I49:L49)</f>
        <v>2.25</v>
      </c>
      <c r="I49" s="327"/>
      <c r="J49" s="327"/>
      <c r="K49" s="327">
        <v>2.25</v>
      </c>
      <c r="L49" s="327"/>
      <c r="M49" s="5">
        <f>IF(H49&gt;0,C49*1000/H49,0)</f>
        <v>4533.333333333333</v>
      </c>
      <c r="N49" s="326">
        <f>C49/C49</f>
        <v>1</v>
      </c>
      <c r="O49" s="326">
        <f>D49/C49</f>
        <v>0</v>
      </c>
      <c r="P49" s="326">
        <f>E49/C49</f>
        <v>0</v>
      </c>
      <c r="Q49" s="326">
        <f>F49/C49</f>
        <v>0.7058823529411765</v>
      </c>
      <c r="R49" s="326">
        <f>G49/C49</f>
        <v>0.29411764705882354</v>
      </c>
    </row>
    <row r="50" spans="1:18" ht="12.75">
      <c r="A50" s="2"/>
      <c r="B50" s="327" t="s">
        <v>399</v>
      </c>
      <c r="C50" s="62">
        <f>G50</f>
        <v>2.18</v>
      </c>
      <c r="D50" s="327"/>
      <c r="E50" s="327"/>
      <c r="F50" s="327"/>
      <c r="G50" s="327">
        <v>2.18</v>
      </c>
      <c r="H50" s="62">
        <f>SUM(I50:L50)</f>
        <v>0</v>
      </c>
      <c r="I50" s="327"/>
      <c r="J50" s="327"/>
      <c r="K50" s="327"/>
      <c r="L50" s="327"/>
      <c r="M50" s="5">
        <f>IF(H50&gt;0,C50*1000/H50,0)</f>
        <v>0</v>
      </c>
      <c r="N50" s="326">
        <f>C50/C50</f>
        <v>1</v>
      </c>
      <c r="O50" s="326">
        <f>D50/C50</f>
        <v>0</v>
      </c>
      <c r="P50" s="326">
        <f>E50/C50</f>
        <v>0</v>
      </c>
      <c r="Q50" s="326">
        <f>F50/C50</f>
        <v>0</v>
      </c>
      <c r="R50" s="326">
        <f>G50/C50</f>
        <v>1</v>
      </c>
    </row>
    <row r="51" spans="1:18" ht="12.75">
      <c r="A51" s="2"/>
      <c r="B51" s="327"/>
      <c r="C51" s="62"/>
      <c r="D51" s="327"/>
      <c r="E51" s="327"/>
      <c r="F51" s="327"/>
      <c r="G51" s="327"/>
      <c r="H51" s="62"/>
      <c r="I51" s="327"/>
      <c r="J51" s="327"/>
      <c r="K51" s="327"/>
      <c r="L51" s="327"/>
      <c r="M51" s="5">
        <f>IF(H51&gt;0,C51*1000/H51,0)</f>
        <v>0</v>
      </c>
      <c r="N51" s="326"/>
      <c r="O51" s="326"/>
      <c r="P51" s="326"/>
      <c r="Q51" s="326"/>
      <c r="R51" s="326"/>
    </row>
    <row r="52" spans="1:18" ht="12.75" collapsed="1">
      <c r="A52" s="415">
        <v>2021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7"/>
    </row>
    <row r="53" spans="1:18" ht="12.75" hidden="1" outlineLevel="1">
      <c r="A53" s="2" t="s">
        <v>7</v>
      </c>
      <c r="B53" s="3" t="s">
        <v>22</v>
      </c>
      <c r="C53" s="4">
        <f aca="true" t="shared" si="8" ref="C53:L53">SUM(C54:C56)</f>
        <v>0</v>
      </c>
      <c r="D53" s="4">
        <f t="shared" si="8"/>
        <v>0</v>
      </c>
      <c r="E53" s="4">
        <f t="shared" si="8"/>
        <v>0</v>
      </c>
      <c r="F53" s="4">
        <f t="shared" si="8"/>
        <v>0</v>
      </c>
      <c r="G53" s="4">
        <f t="shared" si="8"/>
        <v>0</v>
      </c>
      <c r="H53" s="4">
        <f t="shared" si="8"/>
        <v>0</v>
      </c>
      <c r="I53" s="4">
        <f t="shared" si="8"/>
        <v>0</v>
      </c>
      <c r="J53" s="4">
        <f t="shared" si="8"/>
        <v>0</v>
      </c>
      <c r="K53" s="4">
        <f t="shared" si="8"/>
        <v>0</v>
      </c>
      <c r="L53" s="4">
        <f t="shared" si="8"/>
        <v>0</v>
      </c>
      <c r="M53" s="3"/>
      <c r="N53" s="3"/>
      <c r="O53" s="3"/>
      <c r="P53" s="3"/>
      <c r="Q53" s="3"/>
      <c r="R53" s="3"/>
    </row>
    <row r="54" spans="1:18" ht="12.75" hidden="1" outlineLevel="1">
      <c r="A54" s="2"/>
      <c r="B54" s="3" t="s">
        <v>152</v>
      </c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hidden="1" outlineLevel="1">
      <c r="A55" s="2"/>
      <c r="B55" s="3" t="s">
        <v>153</v>
      </c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hidden="1" outlineLevel="1">
      <c r="A56" s="2"/>
      <c r="B56" s="3" t="s">
        <v>154</v>
      </c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hidden="1" outlineLevel="1">
      <c r="A57" s="2"/>
      <c r="B57" s="3" t="s">
        <v>8</v>
      </c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hidden="1" outlineLevel="1">
      <c r="A58" s="2" t="s">
        <v>11</v>
      </c>
      <c r="B58" s="3" t="s">
        <v>23</v>
      </c>
      <c r="C58" s="4"/>
      <c r="D58" s="3"/>
      <c r="E58" s="3"/>
      <c r="F58" s="3"/>
      <c r="G58" s="3"/>
      <c r="H58" s="3"/>
      <c r="I58" s="3"/>
      <c r="J58" s="3"/>
      <c r="K58" s="3"/>
      <c r="L58" s="3"/>
      <c r="M58" s="5"/>
      <c r="N58" s="3"/>
      <c r="O58" s="4"/>
      <c r="P58" s="4"/>
      <c r="Q58" s="4"/>
      <c r="R58" s="4"/>
    </row>
    <row r="59" spans="1:18" ht="25.5" collapsed="1">
      <c r="A59" s="2" t="s">
        <v>12</v>
      </c>
      <c r="B59" s="6" t="s">
        <v>384</v>
      </c>
      <c r="C59" s="62">
        <f>D59+E59+F59+G59</f>
        <v>32.76</v>
      </c>
      <c r="D59" s="62">
        <f>SUM(D60:D63)</f>
        <v>0</v>
      </c>
      <c r="E59" s="62">
        <f>SUM(E60:E63)</f>
        <v>0</v>
      </c>
      <c r="F59" s="62">
        <f>SUM(F60:F63)</f>
        <v>7</v>
      </c>
      <c r="G59" s="62">
        <f>G60+G61+G62</f>
        <v>25.759999999999998</v>
      </c>
      <c r="H59" s="62">
        <f aca="true" t="shared" si="9" ref="H59:M59">SUM(H60:H63)</f>
        <v>9.850000000000001</v>
      </c>
      <c r="I59" s="62">
        <f t="shared" si="9"/>
        <v>0</v>
      </c>
      <c r="J59" s="62">
        <f t="shared" si="9"/>
        <v>0</v>
      </c>
      <c r="K59" s="62">
        <f t="shared" si="9"/>
        <v>2.45</v>
      </c>
      <c r="L59" s="62">
        <f t="shared" si="9"/>
        <v>7.4</v>
      </c>
      <c r="M59" s="5">
        <f t="shared" si="9"/>
        <v>6862.713734142305</v>
      </c>
      <c r="N59" s="326">
        <f>C59/C59</f>
        <v>1</v>
      </c>
      <c r="O59" s="326">
        <f>D59/C59</f>
        <v>0</v>
      </c>
      <c r="P59" s="326">
        <f>E59/C59</f>
        <v>0</v>
      </c>
      <c r="Q59" s="326">
        <f>F59/C59</f>
        <v>0.2136752136752137</v>
      </c>
      <c r="R59" s="326">
        <f>G59/C59</f>
        <v>0.7863247863247863</v>
      </c>
    </row>
    <row r="60" spans="1:18" ht="12.75">
      <c r="A60" s="2"/>
      <c r="B60" s="327" t="s">
        <v>23</v>
      </c>
      <c r="C60" s="62">
        <f>G60</f>
        <v>20.58</v>
      </c>
      <c r="D60" s="327"/>
      <c r="E60" s="327"/>
      <c r="F60" s="327"/>
      <c r="G60" s="327">
        <v>20.58</v>
      </c>
      <c r="H60" s="62">
        <f>SUM(I60:L60)</f>
        <v>7.4</v>
      </c>
      <c r="I60" s="327"/>
      <c r="J60" s="327"/>
      <c r="K60" s="327"/>
      <c r="L60" s="327">
        <v>7.4</v>
      </c>
      <c r="M60" s="5">
        <f>IF(H60&gt;0,C60*1000/H60,0)</f>
        <v>2781.081081081081</v>
      </c>
      <c r="N60" s="326">
        <f>C60/C60</f>
        <v>1</v>
      </c>
      <c r="O60" s="326">
        <f>D60/C60</f>
        <v>0</v>
      </c>
      <c r="P60" s="326">
        <f>E60/C60</f>
        <v>0</v>
      </c>
      <c r="Q60" s="326">
        <f>F60/C60</f>
        <v>0</v>
      </c>
      <c r="R60" s="326">
        <f>G60/C60</f>
        <v>1</v>
      </c>
    </row>
    <row r="61" spans="1:18" ht="25.5">
      <c r="A61" s="2"/>
      <c r="B61" s="376" t="s">
        <v>384</v>
      </c>
      <c r="C61" s="62">
        <f>F61+G61</f>
        <v>10</v>
      </c>
      <c r="D61" s="327"/>
      <c r="E61" s="327"/>
      <c r="F61" s="327">
        <v>7</v>
      </c>
      <c r="G61" s="327">
        <v>3</v>
      </c>
      <c r="H61" s="62">
        <f>SUM(I61:L61)</f>
        <v>2.45</v>
      </c>
      <c r="I61" s="327"/>
      <c r="J61" s="327"/>
      <c r="K61" s="327">
        <v>2.45</v>
      </c>
      <c r="L61" s="327"/>
      <c r="M61" s="5">
        <f>IF(H61&gt;0,C61*1000/H61,0)</f>
        <v>4081.632653061224</v>
      </c>
      <c r="N61" s="326">
        <f>C61/C61</f>
        <v>1</v>
      </c>
      <c r="O61" s="326">
        <f>D61/C61</f>
        <v>0</v>
      </c>
      <c r="P61" s="326">
        <f>E61/C61</f>
        <v>0</v>
      </c>
      <c r="Q61" s="326">
        <f>F61/C61</f>
        <v>0.7</v>
      </c>
      <c r="R61" s="326">
        <f>G61/C61</f>
        <v>0.3</v>
      </c>
    </row>
    <row r="62" spans="1:18" ht="12.75">
      <c r="A62" s="2"/>
      <c r="B62" s="327" t="s">
        <v>399</v>
      </c>
      <c r="C62" s="62">
        <f>G62</f>
        <v>2.18</v>
      </c>
      <c r="D62" s="327"/>
      <c r="E62" s="327"/>
      <c r="F62" s="327"/>
      <c r="G62" s="327">
        <v>2.18</v>
      </c>
      <c r="H62" s="62">
        <f>SUM(I62:L62)</f>
        <v>0</v>
      </c>
      <c r="I62" s="327"/>
      <c r="J62" s="327"/>
      <c r="K62" s="327"/>
      <c r="L62" s="327"/>
      <c r="M62" s="5">
        <f>IF(H62&gt;0,C62*1000/H62,0)</f>
        <v>0</v>
      </c>
      <c r="N62" s="326">
        <f>C62/C62</f>
        <v>1</v>
      </c>
      <c r="O62" s="326">
        <f>D62/C62</f>
        <v>0</v>
      </c>
      <c r="P62" s="326">
        <f>E62/C62</f>
        <v>0</v>
      </c>
      <c r="Q62" s="326">
        <f>F62/C62</f>
        <v>0</v>
      </c>
      <c r="R62" s="326">
        <f>G62/C62</f>
        <v>1</v>
      </c>
    </row>
    <row r="63" spans="1:18" ht="12.75">
      <c r="A63" s="2"/>
      <c r="B63" s="327"/>
      <c r="C63" s="62"/>
      <c r="D63" s="327"/>
      <c r="E63" s="327"/>
      <c r="F63" s="327"/>
      <c r="G63" s="327"/>
      <c r="H63" s="62"/>
      <c r="I63" s="327"/>
      <c r="J63" s="327"/>
      <c r="K63" s="327"/>
      <c r="L63" s="327"/>
      <c r="M63" s="5">
        <f>IF(H63&gt;0,C63*1000/H63,0)</f>
        <v>0</v>
      </c>
      <c r="N63" s="326"/>
      <c r="O63" s="326"/>
      <c r="P63" s="326"/>
      <c r="Q63" s="326"/>
      <c r="R63" s="326"/>
    </row>
    <row r="64" spans="1:18" ht="12.75" collapsed="1">
      <c r="A64" s="415">
        <v>2022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7"/>
    </row>
    <row r="65" spans="1:18" ht="12.75" hidden="1" outlineLevel="1">
      <c r="A65" s="2" t="s">
        <v>7</v>
      </c>
      <c r="B65" s="3" t="s">
        <v>22</v>
      </c>
      <c r="C65" s="4">
        <f aca="true" t="shared" si="10" ref="C65:L65">SUM(C66:C68)</f>
        <v>0</v>
      </c>
      <c r="D65" s="4">
        <f t="shared" si="10"/>
        <v>0</v>
      </c>
      <c r="E65" s="4">
        <f t="shared" si="10"/>
        <v>0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0</v>
      </c>
      <c r="J65" s="4">
        <f t="shared" si="10"/>
        <v>0</v>
      </c>
      <c r="K65" s="4">
        <f t="shared" si="10"/>
        <v>0</v>
      </c>
      <c r="L65" s="4">
        <f t="shared" si="10"/>
        <v>0</v>
      </c>
      <c r="M65" s="3"/>
      <c r="N65" s="3"/>
      <c r="O65" s="3"/>
      <c r="P65" s="3"/>
      <c r="Q65" s="3"/>
      <c r="R65" s="3"/>
    </row>
    <row r="66" spans="1:18" ht="12.75" hidden="1" outlineLevel="1">
      <c r="A66" s="2"/>
      <c r="B66" s="3" t="s">
        <v>152</v>
      </c>
      <c r="C66" s="4"/>
      <c r="D66" s="4"/>
      <c r="E66" s="4"/>
      <c r="F66" s="4"/>
      <c r="G66" s="4"/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hidden="1" outlineLevel="1">
      <c r="A67" s="2"/>
      <c r="B67" s="3" t="s">
        <v>153</v>
      </c>
      <c r="C67" s="4"/>
      <c r="D67" s="4"/>
      <c r="E67" s="4"/>
      <c r="F67" s="4"/>
      <c r="G67" s="4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hidden="1" outlineLevel="1">
      <c r="A68" s="2"/>
      <c r="B68" s="3" t="s">
        <v>154</v>
      </c>
      <c r="C68" s="4"/>
      <c r="D68" s="4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</row>
    <row r="69" spans="1:18" ht="12.75" hidden="1" outlineLevel="1">
      <c r="A69" s="2"/>
      <c r="B69" s="3" t="s">
        <v>8</v>
      </c>
      <c r="C69" s="4"/>
      <c r="D69" s="4"/>
      <c r="E69" s="4"/>
      <c r="F69" s="4"/>
      <c r="G69" s="4"/>
      <c r="H69" s="4"/>
      <c r="I69" s="4"/>
      <c r="J69" s="3"/>
      <c r="K69" s="3"/>
      <c r="L69" s="3"/>
      <c r="M69" s="3"/>
      <c r="N69" s="3"/>
      <c r="O69" s="3"/>
      <c r="P69" s="3"/>
      <c r="Q69" s="3"/>
      <c r="R69" s="3"/>
    </row>
    <row r="70" spans="1:18" ht="12.75" hidden="1" outlineLevel="1">
      <c r="A70" s="2" t="s">
        <v>11</v>
      </c>
      <c r="B70" s="3" t="s">
        <v>23</v>
      </c>
      <c r="C70" s="4"/>
      <c r="D70" s="3"/>
      <c r="E70" s="3"/>
      <c r="F70" s="3"/>
      <c r="G70" s="3"/>
      <c r="H70" s="3"/>
      <c r="I70" s="3"/>
      <c r="J70" s="3"/>
      <c r="K70" s="3"/>
      <c r="L70" s="3"/>
      <c r="M70" s="5"/>
      <c r="N70" s="3"/>
      <c r="O70" s="4"/>
      <c r="P70" s="4"/>
      <c r="Q70" s="4"/>
      <c r="R70" s="4"/>
    </row>
    <row r="71" spans="1:18" ht="25.5" collapsed="1">
      <c r="A71" s="2" t="s">
        <v>12</v>
      </c>
      <c r="B71" s="6" t="s">
        <v>384</v>
      </c>
      <c r="C71" s="62">
        <f>D71+E71+F71+G71</f>
        <v>32.96</v>
      </c>
      <c r="D71" s="62">
        <f>SUM(D72:D75)</f>
        <v>0</v>
      </c>
      <c r="E71" s="62">
        <f>SUM(E72:E75)</f>
        <v>0</v>
      </c>
      <c r="F71" s="62">
        <f>SUM(F72:F75)</f>
        <v>7</v>
      </c>
      <c r="G71" s="62">
        <f>G72+G73+G74</f>
        <v>25.96</v>
      </c>
      <c r="H71" s="62">
        <f aca="true" t="shared" si="11" ref="H71:M71">SUM(H72:H75)</f>
        <v>10.25</v>
      </c>
      <c r="I71" s="62">
        <f t="shared" si="11"/>
        <v>0</v>
      </c>
      <c r="J71" s="62">
        <f t="shared" si="11"/>
        <v>0</v>
      </c>
      <c r="K71" s="62">
        <f t="shared" si="11"/>
        <v>2.65</v>
      </c>
      <c r="L71" s="62">
        <f t="shared" si="11"/>
        <v>7.6</v>
      </c>
      <c r="M71" s="5">
        <f t="shared" si="11"/>
        <v>6507.795431976167</v>
      </c>
      <c r="N71" s="326">
        <f>C71/C71</f>
        <v>1</v>
      </c>
      <c r="O71" s="326">
        <f>D71/C71</f>
        <v>0</v>
      </c>
      <c r="P71" s="326">
        <f>E71/C71</f>
        <v>0</v>
      </c>
      <c r="Q71" s="326">
        <f>F71/C71</f>
        <v>0.21237864077669902</v>
      </c>
      <c r="R71" s="326">
        <f>G71/C71</f>
        <v>0.787621359223301</v>
      </c>
    </row>
    <row r="72" spans="1:18" ht="12.75">
      <c r="A72" s="2"/>
      <c r="B72" s="327" t="s">
        <v>23</v>
      </c>
      <c r="C72" s="62">
        <f>G72</f>
        <v>20.78</v>
      </c>
      <c r="D72" s="327"/>
      <c r="E72" s="327"/>
      <c r="F72" s="327"/>
      <c r="G72" s="327">
        <v>20.78</v>
      </c>
      <c r="H72" s="62">
        <f>SUM(I72:L72)</f>
        <v>7.6</v>
      </c>
      <c r="I72" s="327"/>
      <c r="J72" s="327"/>
      <c r="K72" s="327"/>
      <c r="L72" s="327">
        <v>7.6</v>
      </c>
      <c r="M72" s="5">
        <f>IF(H72&gt;0,C72*1000/H72,0)</f>
        <v>2734.2105263157896</v>
      </c>
      <c r="N72" s="326">
        <f>C72/C72</f>
        <v>1</v>
      </c>
      <c r="O72" s="326">
        <f>D72/C72</f>
        <v>0</v>
      </c>
      <c r="P72" s="326">
        <f>E72/C72</f>
        <v>0</v>
      </c>
      <c r="Q72" s="326">
        <f>F72/C72</f>
        <v>0</v>
      </c>
      <c r="R72" s="326">
        <f>G72/C72</f>
        <v>1</v>
      </c>
    </row>
    <row r="73" spans="1:18" ht="25.5">
      <c r="A73" s="2"/>
      <c r="B73" s="376" t="s">
        <v>384</v>
      </c>
      <c r="C73" s="62">
        <f>F73+G73</f>
        <v>10</v>
      </c>
      <c r="D73" s="327"/>
      <c r="E73" s="327"/>
      <c r="F73" s="327">
        <v>7</v>
      </c>
      <c r="G73" s="327">
        <v>3</v>
      </c>
      <c r="H73" s="62">
        <f>SUM(I73:L73)</f>
        <v>2.65</v>
      </c>
      <c r="I73" s="327"/>
      <c r="J73" s="327"/>
      <c r="K73" s="327">
        <v>2.65</v>
      </c>
      <c r="L73" s="327"/>
      <c r="M73" s="5">
        <f>IF(H73&gt;0,C73*1000/H73,0)</f>
        <v>3773.5849056603774</v>
      </c>
      <c r="N73" s="326">
        <f>C73/C73</f>
        <v>1</v>
      </c>
      <c r="O73" s="326">
        <f>D73/C73</f>
        <v>0</v>
      </c>
      <c r="P73" s="326">
        <f>E73/C73</f>
        <v>0</v>
      </c>
      <c r="Q73" s="326">
        <f>F73/C73</f>
        <v>0.7</v>
      </c>
      <c r="R73" s="326">
        <f>G73/C73</f>
        <v>0.3</v>
      </c>
    </row>
    <row r="74" spans="1:18" ht="12.75">
      <c r="A74" s="2"/>
      <c r="B74" s="327" t="s">
        <v>399</v>
      </c>
      <c r="C74" s="62">
        <f>G74</f>
        <v>2.18</v>
      </c>
      <c r="D74" s="327"/>
      <c r="E74" s="327"/>
      <c r="F74" s="327"/>
      <c r="G74" s="327">
        <v>2.18</v>
      </c>
      <c r="H74" s="62">
        <f>SUM(I74:L74)</f>
        <v>0</v>
      </c>
      <c r="I74" s="327"/>
      <c r="J74" s="327"/>
      <c r="K74" s="327"/>
      <c r="L74" s="327"/>
      <c r="M74" s="5">
        <f>IF(H74&gt;0,C74*1000/H74,0)</f>
        <v>0</v>
      </c>
      <c r="N74" s="326">
        <f>C74/C74</f>
        <v>1</v>
      </c>
      <c r="O74" s="326">
        <f>D74/C74</f>
        <v>0</v>
      </c>
      <c r="P74" s="326">
        <f>E74/C74</f>
        <v>0</v>
      </c>
      <c r="Q74" s="326">
        <f>F74/C74</f>
        <v>0</v>
      </c>
      <c r="R74" s="326">
        <f>G74/C74</f>
        <v>1</v>
      </c>
    </row>
    <row r="75" spans="1:18" ht="12.75">
      <c r="A75" s="2"/>
      <c r="B75" s="327"/>
      <c r="C75" s="62"/>
      <c r="D75" s="327"/>
      <c r="E75" s="327"/>
      <c r="F75" s="327"/>
      <c r="G75" s="327"/>
      <c r="H75" s="62"/>
      <c r="I75" s="327"/>
      <c r="J75" s="327"/>
      <c r="K75" s="327"/>
      <c r="L75" s="327"/>
      <c r="M75" s="5">
        <f>IF(H75&gt;0,C75*1000/H75,0)</f>
        <v>0</v>
      </c>
      <c r="N75" s="326"/>
      <c r="O75" s="326"/>
      <c r="P75" s="326"/>
      <c r="Q75" s="326"/>
      <c r="R75" s="326"/>
    </row>
    <row r="77" spans="2:12" ht="12.75">
      <c r="B77" s="324" t="s">
        <v>247</v>
      </c>
      <c r="C77" s="324"/>
      <c r="D77" s="324"/>
      <c r="E77" s="325" t="s">
        <v>309</v>
      </c>
      <c r="F77" s="418" t="s">
        <v>400</v>
      </c>
      <c r="G77" s="418"/>
      <c r="H77" s="418"/>
      <c r="I77" s="418"/>
      <c r="J77" s="418"/>
      <c r="K77" s="418"/>
      <c r="L77" s="418"/>
    </row>
    <row r="78" spans="2:12" ht="12.75">
      <c r="B78" s="324"/>
      <c r="C78" s="92"/>
      <c r="D78" s="92"/>
      <c r="E78" s="325" t="s">
        <v>245</v>
      </c>
      <c r="F78" s="324"/>
      <c r="G78" s="324"/>
      <c r="H78" s="324"/>
      <c r="I78" s="325" t="s">
        <v>246</v>
      </c>
      <c r="J78" s="324"/>
      <c r="L78" s="324"/>
    </row>
  </sheetData>
  <sheetProtection/>
  <mergeCells count="14">
    <mergeCell ref="A3:R3"/>
    <mergeCell ref="A5:A6"/>
    <mergeCell ref="B5:B6"/>
    <mergeCell ref="C5:G5"/>
    <mergeCell ref="H5:L5"/>
    <mergeCell ref="M5:M6"/>
    <mergeCell ref="N5:R5"/>
    <mergeCell ref="A28:R28"/>
    <mergeCell ref="A40:R40"/>
    <mergeCell ref="A52:R52"/>
    <mergeCell ref="A64:R64"/>
    <mergeCell ref="F77:L77"/>
    <mergeCell ref="A8:R8"/>
    <mergeCell ref="A15:R15"/>
  </mergeCells>
  <printOptions horizontalCentered="1"/>
  <pageMargins left="0.3937007874015748" right="0.3937007874015748" top="0.7874015748031497" bottom="0.3937007874015748" header="0.1968503937007874" footer="0"/>
  <pageSetup blackAndWhite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18"/>
  <sheetViews>
    <sheetView showGridLines="0" view="pageBreakPreview" zoomScale="115" zoomScaleSheetLayoutView="115" zoomScalePageLayoutView="0" workbookViewId="0" topLeftCell="A10">
      <selection activeCell="F10" sqref="F10"/>
    </sheetView>
  </sheetViews>
  <sheetFormatPr defaultColWidth="9.00390625" defaultRowHeight="12.75"/>
  <cols>
    <col min="1" max="1" width="8.375" style="13" customWidth="1"/>
    <col min="2" max="2" width="42.375" style="13" customWidth="1"/>
    <col min="3" max="3" width="9.375" style="13" customWidth="1"/>
    <col min="4" max="6" width="14.875" style="13" customWidth="1"/>
    <col min="7" max="7" width="8.00390625" style="13" hidden="1" customWidth="1"/>
    <col min="8" max="8" width="11.00390625" style="149" customWidth="1"/>
    <col min="9" max="16384" width="9.375" style="13" customWidth="1"/>
  </cols>
  <sheetData>
    <row r="1" spans="1:8" s="163" customFormat="1" ht="15.75">
      <c r="A1" s="126" t="str">
        <f>+Заполнить!C2</f>
        <v>МУП "Тепловодоснабжение" </v>
      </c>
      <c r="G1" s="8"/>
      <c r="H1" s="16" t="s">
        <v>311</v>
      </c>
    </row>
    <row r="3" spans="1:8" ht="15.75">
      <c r="A3" s="422" t="s">
        <v>310</v>
      </c>
      <c r="B3" s="422"/>
      <c r="C3" s="422"/>
      <c r="D3" s="422"/>
      <c r="E3" s="422"/>
      <c r="F3" s="422"/>
      <c r="G3" s="422"/>
      <c r="H3" s="422"/>
    </row>
    <row r="5" spans="1:8" s="34" customFormat="1" ht="38.25">
      <c r="A5" s="20" t="s">
        <v>312</v>
      </c>
      <c r="B5" s="20" t="s">
        <v>0</v>
      </c>
      <c r="C5" s="20" t="s">
        <v>1</v>
      </c>
      <c r="D5" s="20">
        <v>2016</v>
      </c>
      <c r="E5" s="20">
        <f>+Заполнить!C4</f>
        <v>2017</v>
      </c>
      <c r="F5" s="20" t="str">
        <f>+Заполнить!C5</f>
        <v>2018-2022гг</v>
      </c>
      <c r="G5" s="31"/>
      <c r="H5" s="148" t="s">
        <v>446</v>
      </c>
    </row>
    <row r="6" spans="1:8" ht="12.75">
      <c r="A6" s="14">
        <v>1</v>
      </c>
      <c r="B6" s="14">
        <f>+A6+1</f>
        <v>2</v>
      </c>
      <c r="C6" s="14">
        <f>+B6+1</f>
        <v>3</v>
      </c>
      <c r="D6" s="14"/>
      <c r="E6" s="14">
        <f>+C6+1</f>
        <v>4</v>
      </c>
      <c r="F6" s="14">
        <f>+E6+1</f>
        <v>5</v>
      </c>
      <c r="G6" s="42"/>
      <c r="H6" s="14">
        <v>6</v>
      </c>
    </row>
    <row r="7" spans="1:8" ht="12.75">
      <c r="A7" s="150" t="s">
        <v>7</v>
      </c>
      <c r="B7" s="15" t="s">
        <v>42</v>
      </c>
      <c r="C7" s="151" t="s">
        <v>43</v>
      </c>
      <c r="D7" s="289">
        <v>27</v>
      </c>
      <c r="E7" s="289">
        <v>27</v>
      </c>
      <c r="F7" s="289">
        <v>27</v>
      </c>
      <c r="G7" s="119"/>
      <c r="H7" s="152">
        <f aca="true" t="shared" si="0" ref="H7:H34">IF(E7&gt;0,(F7-E7)/E7,0)</f>
        <v>0</v>
      </c>
    </row>
    <row r="8" spans="1:8" ht="12.75">
      <c r="A8" s="153" t="s">
        <v>11</v>
      </c>
      <c r="B8" s="15" t="s">
        <v>45</v>
      </c>
      <c r="C8" s="151" t="s">
        <v>46</v>
      </c>
      <c r="D8" s="290">
        <v>10799</v>
      </c>
      <c r="E8" s="290">
        <v>11977</v>
      </c>
      <c r="F8" s="290">
        <v>12563</v>
      </c>
      <c r="G8" s="119"/>
      <c r="H8" s="152">
        <f t="shared" si="0"/>
        <v>0.04892711029473157</v>
      </c>
    </row>
    <row r="9" spans="1:8" ht="12.75">
      <c r="A9" s="150" t="s">
        <v>12</v>
      </c>
      <c r="B9" s="15" t="s">
        <v>48</v>
      </c>
      <c r="C9" s="151"/>
      <c r="D9" s="290">
        <v>9</v>
      </c>
      <c r="E9" s="290">
        <v>9</v>
      </c>
      <c r="F9" s="290">
        <v>9</v>
      </c>
      <c r="G9" s="119"/>
      <c r="H9" s="152">
        <f t="shared" si="0"/>
        <v>0</v>
      </c>
    </row>
    <row r="10" spans="1:8" ht="25.5">
      <c r="A10" s="150" t="s">
        <v>13</v>
      </c>
      <c r="B10" s="15" t="s">
        <v>50</v>
      </c>
      <c r="C10" s="151" t="s">
        <v>46</v>
      </c>
      <c r="D10" s="290">
        <v>10058.08</v>
      </c>
      <c r="E10" s="290">
        <f>E8*1.09</f>
        <v>13054.93</v>
      </c>
      <c r="F10" s="290">
        <f>F8*1.09</f>
        <v>13693.670000000002</v>
      </c>
      <c r="G10" s="119"/>
      <c r="H10" s="152">
        <f t="shared" si="0"/>
        <v>0.04892711029473169</v>
      </c>
    </row>
    <row r="11" spans="1:8" ht="12.75">
      <c r="A11" s="150" t="s">
        <v>28</v>
      </c>
      <c r="B11" s="15" t="s">
        <v>52</v>
      </c>
      <c r="C11" s="151"/>
      <c r="D11" s="290"/>
      <c r="E11" s="290"/>
      <c r="F11" s="290"/>
      <c r="G11" s="119"/>
      <c r="H11" s="152">
        <f t="shared" si="0"/>
        <v>0</v>
      </c>
    </row>
    <row r="12" spans="1:8" ht="25.5">
      <c r="A12" s="150" t="s">
        <v>29</v>
      </c>
      <c r="B12" s="15" t="s">
        <v>54</v>
      </c>
      <c r="C12" s="151" t="s">
        <v>46</v>
      </c>
      <c r="D12" s="290">
        <v>1.69</v>
      </c>
      <c r="E12" s="290">
        <v>1.69</v>
      </c>
      <c r="F12" s="290">
        <v>1.69</v>
      </c>
      <c r="G12" s="119"/>
      <c r="H12" s="152">
        <f t="shared" si="0"/>
        <v>0</v>
      </c>
    </row>
    <row r="13" spans="1:8" ht="12.75">
      <c r="A13" s="150" t="s">
        <v>30</v>
      </c>
      <c r="B13" s="15" t="s">
        <v>56</v>
      </c>
      <c r="C13" s="151" t="s">
        <v>46</v>
      </c>
      <c r="D13" s="290">
        <f>D10*D12</f>
        <v>16998.1552</v>
      </c>
      <c r="E13" s="290">
        <f>E10*E12</f>
        <v>22062.8317</v>
      </c>
      <c r="F13" s="290">
        <f>F10*F12</f>
        <v>23142.302300000003</v>
      </c>
      <c r="G13" s="155"/>
      <c r="H13" s="156">
        <f t="shared" si="0"/>
        <v>0.04892711029473176</v>
      </c>
    </row>
    <row r="14" spans="1:8" ht="25.5">
      <c r="A14" s="150" t="s">
        <v>32</v>
      </c>
      <c r="B14" s="15" t="s">
        <v>58</v>
      </c>
      <c r="C14" s="151"/>
      <c r="D14" s="292"/>
      <c r="E14" s="292"/>
      <c r="F14" s="292"/>
      <c r="G14" s="155"/>
      <c r="H14" s="156"/>
    </row>
    <row r="15" spans="1:8" ht="12.75">
      <c r="A15" s="157" t="s">
        <v>203</v>
      </c>
      <c r="B15" s="15" t="s">
        <v>59</v>
      </c>
      <c r="C15" s="151" t="s">
        <v>10</v>
      </c>
      <c r="D15" s="291">
        <v>0.15</v>
      </c>
      <c r="E15" s="291">
        <v>0.15</v>
      </c>
      <c r="F15" s="291">
        <v>0.15</v>
      </c>
      <c r="G15" s="159"/>
      <c r="H15" s="156">
        <f t="shared" si="0"/>
        <v>0</v>
      </c>
    </row>
    <row r="16" spans="1:8" ht="12.75">
      <c r="A16" s="157" t="s">
        <v>204</v>
      </c>
      <c r="B16" s="15" t="s">
        <v>60</v>
      </c>
      <c r="C16" s="151" t="s">
        <v>46</v>
      </c>
      <c r="D16" s="154">
        <f>+D15*D13</f>
        <v>2549.72328</v>
      </c>
      <c r="E16" s="154">
        <f>+E15*E13</f>
        <v>3309.4247549999995</v>
      </c>
      <c r="F16" s="154">
        <f>+F15*F13</f>
        <v>3471.345345</v>
      </c>
      <c r="G16" s="155"/>
      <c r="H16" s="156">
        <f t="shared" si="0"/>
        <v>0.04892711029473176</v>
      </c>
    </row>
    <row r="17" spans="1:8" ht="12.75">
      <c r="A17" s="160" t="s">
        <v>33</v>
      </c>
      <c r="B17" s="15" t="s">
        <v>62</v>
      </c>
      <c r="C17" s="151"/>
      <c r="D17" s="154"/>
      <c r="E17" s="154"/>
      <c r="F17" s="154"/>
      <c r="G17" s="155"/>
      <c r="H17" s="156"/>
    </row>
    <row r="18" spans="1:8" ht="12.75">
      <c r="A18" s="157" t="s">
        <v>230</v>
      </c>
      <c r="B18" s="15" t="s">
        <v>59</v>
      </c>
      <c r="C18" s="151" t="s">
        <v>10</v>
      </c>
      <c r="D18" s="291">
        <v>0.2</v>
      </c>
      <c r="E18" s="291">
        <v>0.2</v>
      </c>
      <c r="F18" s="291">
        <v>0.2</v>
      </c>
      <c r="G18" s="159"/>
      <c r="H18" s="156">
        <f t="shared" si="0"/>
        <v>0</v>
      </c>
    </row>
    <row r="19" spans="1:8" ht="12.75">
      <c r="A19" s="157" t="s">
        <v>231</v>
      </c>
      <c r="B19" s="15" t="s">
        <v>60</v>
      </c>
      <c r="C19" s="151" t="s">
        <v>46</v>
      </c>
      <c r="D19" s="154">
        <f>+D18*D13</f>
        <v>3399.63104</v>
      </c>
      <c r="E19" s="154">
        <f>+E18*E13</f>
        <v>4412.56634</v>
      </c>
      <c r="F19" s="154">
        <f>+F18*F13</f>
        <v>4628.460460000001</v>
      </c>
      <c r="G19" s="155"/>
      <c r="H19" s="156">
        <f t="shared" si="0"/>
        <v>0.048927110294731756</v>
      </c>
    </row>
    <row r="20" spans="1:8" ht="12.75">
      <c r="A20" s="160" t="s">
        <v>35</v>
      </c>
      <c r="B20" s="15" t="s">
        <v>64</v>
      </c>
      <c r="C20" s="151"/>
      <c r="D20" s="154"/>
      <c r="E20" s="154"/>
      <c r="F20" s="154"/>
      <c r="G20" s="119"/>
      <c r="H20" s="152"/>
    </row>
    <row r="21" spans="1:8" ht="12.75">
      <c r="A21" s="157" t="s">
        <v>232</v>
      </c>
      <c r="B21" s="15" t="s">
        <v>59</v>
      </c>
      <c r="C21" s="151" t="s">
        <v>10</v>
      </c>
      <c r="D21" s="290"/>
      <c r="E21" s="290"/>
      <c r="F21" s="290"/>
      <c r="G21" s="119"/>
      <c r="H21" s="152">
        <f t="shared" si="0"/>
        <v>0</v>
      </c>
    </row>
    <row r="22" spans="1:8" ht="12.75">
      <c r="A22" s="157" t="s">
        <v>233</v>
      </c>
      <c r="B22" s="15" t="s">
        <v>60</v>
      </c>
      <c r="C22" s="151" t="s">
        <v>46</v>
      </c>
      <c r="D22" s="290"/>
      <c r="E22" s="290"/>
      <c r="F22" s="290"/>
      <c r="G22" s="119"/>
      <c r="H22" s="152">
        <f t="shared" si="0"/>
        <v>0</v>
      </c>
    </row>
    <row r="23" spans="1:8" ht="12.75">
      <c r="A23" s="160" t="s">
        <v>37</v>
      </c>
      <c r="B23" s="15" t="s">
        <v>66</v>
      </c>
      <c r="C23" s="151"/>
      <c r="D23" s="154"/>
      <c r="E23" s="154"/>
      <c r="F23" s="154"/>
      <c r="G23" s="119"/>
      <c r="H23" s="152"/>
    </row>
    <row r="24" spans="1:8" ht="12.75">
      <c r="A24" s="157" t="s">
        <v>194</v>
      </c>
      <c r="B24" s="15" t="s">
        <v>59</v>
      </c>
      <c r="C24" s="151" t="s">
        <v>10</v>
      </c>
      <c r="D24" s="290"/>
      <c r="E24" s="290"/>
      <c r="F24" s="290"/>
      <c r="G24" s="119"/>
      <c r="H24" s="152">
        <f t="shared" si="0"/>
        <v>0</v>
      </c>
    </row>
    <row r="25" spans="1:8" ht="12.75">
      <c r="A25" s="157" t="s">
        <v>195</v>
      </c>
      <c r="B25" s="15" t="s">
        <v>60</v>
      </c>
      <c r="C25" s="151" t="s">
        <v>46</v>
      </c>
      <c r="D25" s="290"/>
      <c r="E25" s="290"/>
      <c r="F25" s="290"/>
      <c r="G25" s="119"/>
      <c r="H25" s="152">
        <f t="shared" si="0"/>
        <v>0</v>
      </c>
    </row>
    <row r="26" spans="1:8" ht="25.5">
      <c r="A26" s="160" t="s">
        <v>38</v>
      </c>
      <c r="B26" s="15" t="s">
        <v>67</v>
      </c>
      <c r="C26" s="151"/>
      <c r="D26" s="154"/>
      <c r="E26" s="154"/>
      <c r="F26" s="154"/>
      <c r="G26" s="119"/>
      <c r="H26" s="152"/>
    </row>
    <row r="27" spans="1:8" ht="12.75">
      <c r="A27" s="157" t="s">
        <v>234</v>
      </c>
      <c r="B27" s="15" t="s">
        <v>59</v>
      </c>
      <c r="C27" s="151" t="s">
        <v>10</v>
      </c>
      <c r="D27" s="158">
        <v>0.15</v>
      </c>
      <c r="E27" s="158">
        <v>0.15</v>
      </c>
      <c r="F27" s="158">
        <v>0.15</v>
      </c>
      <c r="G27" s="161"/>
      <c r="H27" s="152">
        <f t="shared" si="0"/>
        <v>0</v>
      </c>
    </row>
    <row r="28" spans="1:8" ht="12.75">
      <c r="A28" s="157" t="s">
        <v>235</v>
      </c>
      <c r="B28" s="15" t="s">
        <v>60</v>
      </c>
      <c r="C28" s="151" t="s">
        <v>46</v>
      </c>
      <c r="D28" s="154">
        <f>+(D13+D19+D16)*D27</f>
        <v>3442.126428</v>
      </c>
      <c r="E28" s="154">
        <f>+(E13+E19+E16)*E27</f>
        <v>4467.72341925</v>
      </c>
      <c r="F28" s="154">
        <f>+(F13+F19+F16)*F27</f>
        <v>4686.316215750001</v>
      </c>
      <c r="G28" s="119"/>
      <c r="H28" s="152">
        <f t="shared" si="0"/>
        <v>0.04892711029473179</v>
      </c>
    </row>
    <row r="29" spans="1:8" ht="40.5">
      <c r="A29" s="160" t="s">
        <v>40</v>
      </c>
      <c r="B29" s="90" t="s">
        <v>236</v>
      </c>
      <c r="C29" s="151" t="s">
        <v>46</v>
      </c>
      <c r="D29" s="154">
        <f>+D13+D28+D16+D19+D22+D25</f>
        <v>26389.635948000003</v>
      </c>
      <c r="E29" s="154">
        <f>+E13+E28+E16+E19+E22+E25</f>
        <v>34252.54621425</v>
      </c>
      <c r="F29" s="154">
        <f>+F13+F28+F16+F19+F22+F25</f>
        <v>35928.424320750004</v>
      </c>
      <c r="G29" s="119"/>
      <c r="H29" s="152">
        <f t="shared" si="0"/>
        <v>0.0489271102947318</v>
      </c>
    </row>
    <row r="30" spans="1:8" s="305" customFormat="1" ht="25.5">
      <c r="A30" s="299" t="s">
        <v>89</v>
      </c>
      <c r="B30" s="300" t="s">
        <v>68</v>
      </c>
      <c r="C30" s="301"/>
      <c r="D30" s="302"/>
      <c r="E30" s="302"/>
      <c r="F30" s="302"/>
      <c r="G30" s="303"/>
      <c r="H30" s="304"/>
    </row>
    <row r="31" spans="1:8" ht="12.75">
      <c r="A31" s="157" t="s">
        <v>205</v>
      </c>
      <c r="B31" s="15" t="s">
        <v>69</v>
      </c>
      <c r="C31" s="151" t="s">
        <v>26</v>
      </c>
      <c r="D31" s="290"/>
      <c r="E31" s="290"/>
      <c r="F31" s="290"/>
      <c r="G31" s="119"/>
      <c r="H31" s="152">
        <f t="shared" si="0"/>
        <v>0</v>
      </c>
    </row>
    <row r="32" spans="1:8" ht="12.75">
      <c r="A32" s="157" t="s">
        <v>206</v>
      </c>
      <c r="B32" s="15" t="s">
        <v>70</v>
      </c>
      <c r="C32" s="151" t="s">
        <v>26</v>
      </c>
      <c r="D32" s="290"/>
      <c r="E32" s="290"/>
      <c r="F32" s="290"/>
      <c r="G32" s="119"/>
      <c r="H32" s="152">
        <f t="shared" si="0"/>
        <v>0</v>
      </c>
    </row>
    <row r="33" spans="1:8" s="296" customFormat="1" ht="25.5">
      <c r="A33" s="293" t="s">
        <v>207</v>
      </c>
      <c r="B33" s="294" t="s">
        <v>239</v>
      </c>
      <c r="C33" s="295" t="s">
        <v>26</v>
      </c>
      <c r="D33" s="306">
        <f>+D29*D7*12/1000+D31+D32</f>
        <v>8550.242047152002</v>
      </c>
      <c r="E33" s="306">
        <f>+E29*E7*12/1000+E31+E32</f>
        <v>11097.824973416999</v>
      </c>
      <c r="F33" s="306">
        <f>+F29*F7*12/1000+F31+F32</f>
        <v>11640.809479923</v>
      </c>
      <c r="G33" s="155"/>
      <c r="H33" s="156">
        <f t="shared" si="0"/>
        <v>0.04892711029473173</v>
      </c>
    </row>
    <row r="34" spans="1:8" s="296" customFormat="1" ht="25.5">
      <c r="A34" s="297" t="s">
        <v>355</v>
      </c>
      <c r="B34" s="298" t="s">
        <v>240</v>
      </c>
      <c r="C34" s="295" t="s">
        <v>46</v>
      </c>
      <c r="D34" s="292">
        <f>D33/(+D7)*1000/12</f>
        <v>26389.635948000006</v>
      </c>
      <c r="E34" s="292">
        <f>E33/(+E7)*1000/12</f>
        <v>34252.54621425</v>
      </c>
      <c r="F34" s="292">
        <f>F33/(+F7)*1000/12</f>
        <v>35928.424320750004</v>
      </c>
      <c r="G34" s="288" t="e">
        <f>G33/(+G7)/12</f>
        <v>#DIV/0!</v>
      </c>
      <c r="H34" s="156">
        <f t="shared" si="0"/>
        <v>0.0489271102947318</v>
      </c>
    </row>
    <row r="35" spans="3:4" ht="12.75">
      <c r="C35" s="137"/>
      <c r="D35" s="137"/>
    </row>
    <row r="36" spans="1:8" s="163" customFormat="1" ht="15">
      <c r="A36" s="12"/>
      <c r="B36" s="146" t="s">
        <v>247</v>
      </c>
      <c r="C36" s="147" t="s">
        <v>309</v>
      </c>
      <c r="D36" s="423" t="s">
        <v>400</v>
      </c>
      <c r="E36" s="423"/>
      <c r="F36" s="423"/>
      <c r="G36" s="19"/>
      <c r="H36" s="162"/>
    </row>
    <row r="37" spans="2:8" s="163" customFormat="1" ht="15">
      <c r="B37" s="133"/>
      <c r="C37" s="108" t="s">
        <v>245</v>
      </c>
      <c r="D37" s="108"/>
      <c r="E37" s="108" t="s">
        <v>246</v>
      </c>
      <c r="F37" s="112"/>
      <c r="H37" s="162"/>
    </row>
    <row r="38" spans="3:4" ht="12.75">
      <c r="C38" s="137"/>
      <c r="D38" s="137"/>
    </row>
    <row r="39" spans="3:4" ht="12.75">
      <c r="C39" s="137"/>
      <c r="D39" s="137"/>
    </row>
    <row r="40" spans="3:4" ht="12.75">
      <c r="C40" s="137"/>
      <c r="D40" s="137"/>
    </row>
    <row r="41" spans="3:4" ht="12.75">
      <c r="C41" s="137"/>
      <c r="D41" s="137"/>
    </row>
    <row r="42" spans="3:4" ht="12.75">
      <c r="C42" s="137"/>
      <c r="D42" s="137"/>
    </row>
    <row r="43" spans="3:4" ht="12.75">
      <c r="C43" s="137"/>
      <c r="D43" s="137"/>
    </row>
    <row r="44" spans="3:4" ht="12.75">
      <c r="C44" s="137"/>
      <c r="D44" s="137"/>
    </row>
    <row r="45" spans="3:4" ht="12.75">
      <c r="C45" s="137"/>
      <c r="D45" s="137"/>
    </row>
    <row r="46" spans="3:4" ht="12.75">
      <c r="C46" s="137"/>
      <c r="D46" s="137"/>
    </row>
    <row r="47" spans="3:4" ht="12.75">
      <c r="C47" s="137"/>
      <c r="D47" s="137"/>
    </row>
    <row r="48" spans="3:4" ht="12.75">
      <c r="C48" s="137"/>
      <c r="D48" s="137"/>
    </row>
    <row r="49" spans="3:4" ht="12.75">
      <c r="C49" s="137"/>
      <c r="D49" s="137"/>
    </row>
    <row r="50" spans="3:4" ht="12.75">
      <c r="C50" s="137"/>
      <c r="D50" s="137"/>
    </row>
    <row r="51" spans="3:4" ht="12.75">
      <c r="C51" s="137"/>
      <c r="D51" s="137"/>
    </row>
    <row r="52" spans="3:4" ht="12.75">
      <c r="C52" s="137"/>
      <c r="D52" s="137"/>
    </row>
    <row r="53" spans="3:4" ht="12.75">
      <c r="C53" s="137"/>
      <c r="D53" s="137"/>
    </row>
    <row r="54" spans="3:4" ht="12.75">
      <c r="C54" s="137"/>
      <c r="D54" s="137"/>
    </row>
    <row r="55" spans="3:4" ht="12.75">
      <c r="C55" s="137"/>
      <c r="D55" s="137"/>
    </row>
    <row r="56" spans="3:4" ht="12.75">
      <c r="C56" s="137"/>
      <c r="D56" s="137"/>
    </row>
    <row r="57" spans="3:4" ht="12.75">
      <c r="C57" s="137"/>
      <c r="D57" s="137"/>
    </row>
    <row r="58" spans="3:4" ht="12.75">
      <c r="C58" s="137"/>
      <c r="D58" s="137"/>
    </row>
    <row r="59" spans="3:4" ht="12.75">
      <c r="C59" s="137"/>
      <c r="D59" s="137"/>
    </row>
    <row r="60" spans="3:4" ht="12.75">
      <c r="C60" s="137"/>
      <c r="D60" s="137"/>
    </row>
    <row r="61" spans="3:4" ht="12.75">
      <c r="C61" s="137"/>
      <c r="D61" s="137"/>
    </row>
    <row r="62" spans="3:4" ht="12.75">
      <c r="C62" s="137"/>
      <c r="D62" s="137"/>
    </row>
    <row r="63" spans="3:4" ht="12.75">
      <c r="C63" s="137"/>
      <c r="D63" s="137"/>
    </row>
    <row r="64" spans="3:4" ht="12.75">
      <c r="C64" s="137"/>
      <c r="D64" s="137"/>
    </row>
    <row r="65" spans="3:4" ht="12.75">
      <c r="C65" s="137"/>
      <c r="D65" s="137"/>
    </row>
    <row r="66" spans="3:4" ht="12.75">
      <c r="C66" s="137"/>
      <c r="D66" s="137"/>
    </row>
    <row r="67" spans="3:4" ht="12.75">
      <c r="C67" s="137"/>
      <c r="D67" s="137"/>
    </row>
    <row r="68" spans="3:4" ht="12.75">
      <c r="C68" s="137"/>
      <c r="D68" s="137"/>
    </row>
    <row r="69" spans="3:4" ht="12.75">
      <c r="C69" s="137"/>
      <c r="D69" s="137"/>
    </row>
    <row r="70" spans="3:4" ht="12.75">
      <c r="C70" s="137"/>
      <c r="D70" s="137"/>
    </row>
    <row r="71" spans="3:4" ht="12.75">
      <c r="C71" s="137"/>
      <c r="D71" s="137"/>
    </row>
    <row r="72" spans="3:4" ht="12.75">
      <c r="C72" s="137"/>
      <c r="D72" s="137"/>
    </row>
    <row r="73" spans="3:4" ht="12.75">
      <c r="C73" s="137"/>
      <c r="D73" s="137"/>
    </row>
    <row r="74" spans="3:4" ht="12.75">
      <c r="C74" s="137"/>
      <c r="D74" s="137"/>
    </row>
    <row r="75" spans="3:4" ht="12.75">
      <c r="C75" s="137"/>
      <c r="D75" s="137"/>
    </row>
    <row r="76" spans="3:4" ht="12.75">
      <c r="C76" s="137"/>
      <c r="D76" s="137"/>
    </row>
    <row r="77" spans="3:4" ht="12.75">
      <c r="C77" s="137"/>
      <c r="D77" s="137"/>
    </row>
    <row r="78" spans="3:4" ht="12.75">
      <c r="C78" s="137"/>
      <c r="D78" s="137"/>
    </row>
    <row r="79" spans="3:4" ht="12.75">
      <c r="C79" s="137"/>
      <c r="D79" s="137"/>
    </row>
    <row r="80" spans="3:4" ht="12.75">
      <c r="C80" s="137"/>
      <c r="D80" s="137"/>
    </row>
    <row r="81" spans="3:4" ht="12.75">
      <c r="C81" s="137"/>
      <c r="D81" s="137"/>
    </row>
    <row r="82" spans="3:4" ht="12.75">
      <c r="C82" s="137"/>
      <c r="D82" s="137"/>
    </row>
    <row r="83" spans="3:4" ht="12.75">
      <c r="C83" s="137"/>
      <c r="D83" s="137"/>
    </row>
    <row r="84" spans="3:4" ht="12.75">
      <c r="C84" s="137"/>
      <c r="D84" s="137"/>
    </row>
    <row r="85" spans="3:4" ht="12.75">
      <c r="C85" s="137"/>
      <c r="D85" s="137"/>
    </row>
    <row r="86" spans="3:4" ht="12.75">
      <c r="C86" s="137"/>
      <c r="D86" s="137"/>
    </row>
    <row r="87" spans="3:4" ht="12.75">
      <c r="C87" s="137"/>
      <c r="D87" s="137"/>
    </row>
    <row r="88" spans="3:4" ht="12.75">
      <c r="C88" s="137"/>
      <c r="D88" s="137"/>
    </row>
    <row r="89" spans="3:4" ht="12.75">
      <c r="C89" s="137"/>
      <c r="D89" s="137"/>
    </row>
    <row r="90" spans="3:4" ht="12.75">
      <c r="C90" s="137"/>
      <c r="D90" s="137"/>
    </row>
    <row r="91" spans="3:4" ht="12.75">
      <c r="C91" s="137"/>
      <c r="D91" s="137"/>
    </row>
    <row r="92" spans="3:4" ht="12.75">
      <c r="C92" s="137"/>
      <c r="D92" s="137"/>
    </row>
    <row r="93" spans="3:4" ht="12.75">
      <c r="C93" s="137"/>
      <c r="D93" s="137"/>
    </row>
    <row r="94" spans="3:4" ht="12.75">
      <c r="C94" s="137"/>
      <c r="D94" s="137"/>
    </row>
    <row r="95" spans="3:4" ht="12.75">
      <c r="C95" s="137"/>
      <c r="D95" s="137"/>
    </row>
    <row r="96" spans="3:4" ht="12.75">
      <c r="C96" s="137"/>
      <c r="D96" s="137"/>
    </row>
    <row r="97" spans="3:4" ht="12.75">
      <c r="C97" s="137"/>
      <c r="D97" s="137"/>
    </row>
    <row r="98" spans="3:4" ht="12.75">
      <c r="C98" s="137"/>
      <c r="D98" s="137"/>
    </row>
    <row r="99" spans="3:4" ht="12.75">
      <c r="C99" s="137"/>
      <c r="D99" s="137"/>
    </row>
    <row r="100" spans="3:4" ht="12.75">
      <c r="C100" s="137"/>
      <c r="D100" s="137"/>
    </row>
    <row r="101" spans="3:4" ht="12.75">
      <c r="C101" s="137"/>
      <c r="D101" s="137"/>
    </row>
    <row r="102" spans="3:4" ht="12.75">
      <c r="C102" s="137"/>
      <c r="D102" s="137"/>
    </row>
    <row r="103" spans="3:4" ht="12.75">
      <c r="C103" s="137"/>
      <c r="D103" s="137"/>
    </row>
    <row r="104" spans="3:4" ht="12.75">
      <c r="C104" s="137"/>
      <c r="D104" s="137"/>
    </row>
    <row r="105" spans="3:4" ht="12.75">
      <c r="C105" s="137"/>
      <c r="D105" s="137"/>
    </row>
    <row r="106" spans="3:4" ht="12.75">
      <c r="C106" s="137"/>
      <c r="D106" s="137"/>
    </row>
    <row r="107" spans="3:4" ht="12.75">
      <c r="C107" s="137"/>
      <c r="D107" s="137"/>
    </row>
    <row r="108" spans="3:4" ht="12.75">
      <c r="C108" s="137"/>
      <c r="D108" s="137"/>
    </row>
    <row r="109" spans="3:4" ht="12.75">
      <c r="C109" s="137"/>
      <c r="D109" s="137"/>
    </row>
    <row r="110" spans="3:4" ht="12.75">
      <c r="C110" s="137"/>
      <c r="D110" s="137"/>
    </row>
    <row r="111" spans="3:4" ht="12.75">
      <c r="C111" s="137"/>
      <c r="D111" s="137"/>
    </row>
    <row r="112" spans="3:4" ht="12.75">
      <c r="C112" s="137"/>
      <c r="D112" s="137"/>
    </row>
    <row r="113" spans="3:4" ht="12.75">
      <c r="C113" s="137"/>
      <c r="D113" s="137"/>
    </row>
    <row r="114" spans="3:4" ht="12.75">
      <c r="C114" s="137"/>
      <c r="D114" s="137"/>
    </row>
    <row r="115" spans="3:4" ht="12.75">
      <c r="C115" s="137"/>
      <c r="D115" s="137"/>
    </row>
    <row r="116" spans="3:4" ht="12.75">
      <c r="C116" s="137"/>
      <c r="D116" s="137"/>
    </row>
    <row r="117" spans="3:4" ht="12.75">
      <c r="C117" s="137"/>
      <c r="D117" s="137"/>
    </row>
    <row r="118" spans="3:4" ht="12.75">
      <c r="C118" s="137"/>
      <c r="D118" s="137"/>
    </row>
  </sheetData>
  <sheetProtection/>
  <mergeCells count="2">
    <mergeCell ref="A3:H3"/>
    <mergeCell ref="D36:F36"/>
  </mergeCells>
  <printOptions horizontalCentered="1"/>
  <pageMargins left="0.7874015748031497" right="0.1968503937007874" top="0.3937007874015748" bottom="0.3937007874015748" header="0" footer="0"/>
  <pageSetup blackAndWhite="1"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9"/>
  <sheetViews>
    <sheetView showGridLines="0" view="pageBreakPreview" zoomScale="115" zoomScaleSheetLayoutView="115" zoomScalePageLayoutView="0" workbookViewId="0" topLeftCell="A1">
      <selection activeCell="E13" sqref="E13"/>
    </sheetView>
  </sheetViews>
  <sheetFormatPr defaultColWidth="9.00390625" defaultRowHeight="12.75"/>
  <cols>
    <col min="1" max="1" width="6.50390625" style="0" customWidth="1"/>
    <col min="2" max="2" width="33.125" style="0" customWidth="1"/>
    <col min="3" max="5" width="16.00390625" style="0" customWidth="1"/>
  </cols>
  <sheetData>
    <row r="1" spans="1:5" s="180" customFormat="1" ht="15.75">
      <c r="A1" s="126" t="str">
        <f>+Заполнить!C2</f>
        <v>МУП "Тепловодоснабжение" </v>
      </c>
      <c r="E1" s="173" t="s">
        <v>318</v>
      </c>
    </row>
    <row r="2" s="180" customFormat="1" ht="15.75"/>
    <row r="3" spans="1:5" s="180" customFormat="1" ht="32.25" customHeight="1">
      <c r="A3" s="424" t="s">
        <v>263</v>
      </c>
      <c r="B3" s="424"/>
      <c r="C3" s="424"/>
      <c r="D3" s="424"/>
      <c r="E3" s="424"/>
    </row>
    <row r="4" spans="1:5" s="180" customFormat="1" ht="15.75">
      <c r="A4" s="181"/>
      <c r="B4" s="181"/>
      <c r="C4" s="181"/>
      <c r="D4" s="181"/>
      <c r="E4" s="181"/>
    </row>
    <row r="5" s="164" customFormat="1" ht="15">
      <c r="E5" s="173" t="s">
        <v>26</v>
      </c>
    </row>
    <row r="6" spans="1:5" s="164" customFormat="1" ht="30">
      <c r="A6" s="174" t="s">
        <v>314</v>
      </c>
      <c r="B6" s="175" t="s">
        <v>0</v>
      </c>
      <c r="C6" s="175">
        <v>2016</v>
      </c>
      <c r="D6" s="175">
        <v>2017</v>
      </c>
      <c r="E6" s="175">
        <v>2018</v>
      </c>
    </row>
    <row r="7" spans="1:5" ht="45">
      <c r="A7" s="176" t="s">
        <v>7</v>
      </c>
      <c r="B7" s="177" t="s">
        <v>272</v>
      </c>
      <c r="C7" s="312">
        <v>14593.57</v>
      </c>
      <c r="D7" s="312">
        <v>20048.4</v>
      </c>
      <c r="E7" s="312">
        <v>20048.4</v>
      </c>
    </row>
    <row r="8" spans="1:5" ht="30">
      <c r="A8" s="176" t="s">
        <v>11</v>
      </c>
      <c r="B8" s="177" t="s">
        <v>71</v>
      </c>
      <c r="C8" s="312">
        <v>6003.82</v>
      </c>
      <c r="D8" s="312"/>
      <c r="E8" s="312"/>
    </row>
    <row r="9" spans="1:5" ht="30">
      <c r="A9" s="176" t="s">
        <v>12</v>
      </c>
      <c r="B9" s="177" t="s">
        <v>72</v>
      </c>
      <c r="C9" s="312">
        <v>549</v>
      </c>
      <c r="D9" s="312"/>
      <c r="E9" s="312"/>
    </row>
    <row r="10" spans="1:5" ht="45">
      <c r="A10" s="176" t="s">
        <v>13</v>
      </c>
      <c r="B10" s="179" t="s">
        <v>73</v>
      </c>
      <c r="C10" s="312">
        <f>(C7-C9)</f>
        <v>14044.57</v>
      </c>
      <c r="D10" s="312">
        <f>(D7-D9)</f>
        <v>20048.4</v>
      </c>
      <c r="E10" s="312">
        <f>(E7-E9)</f>
        <v>20048.4</v>
      </c>
    </row>
    <row r="11" spans="1:5" ht="15">
      <c r="A11" s="176" t="s">
        <v>28</v>
      </c>
      <c r="B11" s="177" t="s">
        <v>74</v>
      </c>
      <c r="C11" s="312">
        <v>2.46</v>
      </c>
      <c r="D11" s="312">
        <v>4.23</v>
      </c>
      <c r="E11" s="312">
        <v>4.23</v>
      </c>
    </row>
    <row r="12" spans="1:5" ht="30">
      <c r="A12" s="176" t="s">
        <v>29</v>
      </c>
      <c r="B12" s="177" t="s">
        <v>75</v>
      </c>
      <c r="C12" s="312">
        <v>537.33</v>
      </c>
      <c r="D12" s="312">
        <v>848</v>
      </c>
      <c r="E12" s="312">
        <v>848</v>
      </c>
    </row>
    <row r="13" spans="1:5" ht="60">
      <c r="A13" s="176" t="s">
        <v>30</v>
      </c>
      <c r="B13" s="177" t="s">
        <v>273</v>
      </c>
      <c r="C13" s="312">
        <v>3647.26</v>
      </c>
      <c r="D13" s="312">
        <v>8766.38</v>
      </c>
      <c r="E13" s="312">
        <v>7847.71</v>
      </c>
    </row>
    <row r="14" spans="1:5" ht="15">
      <c r="A14" s="176" t="s">
        <v>379</v>
      </c>
      <c r="B14" s="177" t="s">
        <v>298</v>
      </c>
      <c r="C14" s="312">
        <v>0.022</v>
      </c>
      <c r="D14" s="312">
        <v>0.022</v>
      </c>
      <c r="E14" s="312">
        <v>0.022</v>
      </c>
    </row>
    <row r="15" spans="1:5" ht="15">
      <c r="A15" s="176" t="s">
        <v>381</v>
      </c>
      <c r="B15" s="177" t="s">
        <v>262</v>
      </c>
      <c r="C15" s="178">
        <f>+C13*C14</f>
        <v>80.23972</v>
      </c>
      <c r="D15" s="178">
        <f>+D13*D14</f>
        <v>192.86035999999996</v>
      </c>
      <c r="E15" s="178">
        <f>+E13*E14</f>
        <v>172.64962</v>
      </c>
    </row>
    <row r="16" s="164" customFormat="1" ht="15">
      <c r="B16" s="165"/>
    </row>
    <row r="17" spans="1:6" s="164" customFormat="1" ht="15">
      <c r="A17" s="166"/>
      <c r="B17" s="425"/>
      <c r="C17" s="425"/>
      <c r="D17" s="425"/>
      <c r="E17" s="425"/>
      <c r="F17" s="168"/>
    </row>
    <row r="18" spans="1:8" s="164" customFormat="1" ht="15">
      <c r="A18" s="169" t="s">
        <v>317</v>
      </c>
      <c r="C18" s="169"/>
      <c r="D18" s="377" t="s">
        <v>400</v>
      </c>
      <c r="E18" s="170"/>
      <c r="F18" s="170"/>
      <c r="G18" s="167"/>
      <c r="H18" s="171"/>
    </row>
    <row r="19" spans="1:8" s="164" customFormat="1" ht="15">
      <c r="A19" s="164" t="s">
        <v>313</v>
      </c>
      <c r="B19" s="172"/>
      <c r="C19" s="170"/>
      <c r="D19" s="170"/>
      <c r="E19" s="170"/>
      <c r="F19" s="170"/>
      <c r="H19" s="171"/>
    </row>
  </sheetData>
  <sheetProtection/>
  <mergeCells count="2">
    <mergeCell ref="A3:E3"/>
    <mergeCell ref="B17:E17"/>
  </mergeCells>
  <printOptions horizontalCentered="1"/>
  <pageMargins left="0.7874015748031497" right="0.3937007874015748" top="0.7874015748031497" bottom="0.3937007874015748" header="0" footer="0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9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27.375" style="0" customWidth="1"/>
    <col min="2" max="2" width="22.375" style="0" customWidth="1"/>
    <col min="3" max="3" width="19.125" style="0" customWidth="1"/>
    <col min="4" max="5" width="21.125" style="0" customWidth="1"/>
    <col min="6" max="6" width="17.125" style="0" customWidth="1"/>
    <col min="7" max="7" width="14.875" style="0" customWidth="1"/>
  </cols>
  <sheetData>
    <row r="1" spans="1:7" ht="12.75">
      <c r="A1" s="41" t="str">
        <f>Заполнить!C2</f>
        <v>МУП "Тепловодоснабжение" </v>
      </c>
      <c r="F1" s="16"/>
      <c r="G1" s="16" t="s">
        <v>320</v>
      </c>
    </row>
    <row r="2" spans="6:7" ht="12.75">
      <c r="F2" s="16"/>
      <c r="G2" s="16"/>
    </row>
    <row r="3" spans="1:7" ht="12.75">
      <c r="A3" s="426" t="s">
        <v>319</v>
      </c>
      <c r="B3" s="426"/>
      <c r="C3" s="426"/>
      <c r="D3" s="426"/>
      <c r="E3" s="426"/>
      <c r="F3" s="426"/>
      <c r="G3" s="426"/>
    </row>
    <row r="4" spans="1:5" ht="12.75">
      <c r="A4" s="135"/>
      <c r="B4" s="135"/>
      <c r="C4" s="135"/>
      <c r="D4" s="135"/>
      <c r="E4" s="135"/>
    </row>
    <row r="5" spans="1:7" ht="45">
      <c r="A5" s="20"/>
      <c r="B5" s="21" t="s">
        <v>286</v>
      </c>
      <c r="C5" s="21" t="s">
        <v>261</v>
      </c>
      <c r="D5" s="21" t="s">
        <v>72</v>
      </c>
      <c r="E5" s="21" t="s">
        <v>287</v>
      </c>
      <c r="F5" s="21" t="s">
        <v>297</v>
      </c>
      <c r="G5" s="21" t="s">
        <v>76</v>
      </c>
    </row>
    <row r="6" spans="1:7" ht="12.75">
      <c r="A6" s="120" t="s">
        <v>266</v>
      </c>
      <c r="B6" s="15"/>
      <c r="C6" s="15"/>
      <c r="D6" s="15"/>
      <c r="E6" s="15"/>
      <c r="F6" s="15"/>
      <c r="G6" s="15"/>
    </row>
    <row r="7" spans="1:7" ht="12.75">
      <c r="A7" s="18" t="s">
        <v>77</v>
      </c>
      <c r="B7" s="154">
        <v>7936656.7</v>
      </c>
      <c r="C7" s="154">
        <v>3534751.74</v>
      </c>
      <c r="D7" s="154">
        <v>0</v>
      </c>
      <c r="E7" s="154">
        <v>11471408.44</v>
      </c>
      <c r="F7" s="154">
        <f>+(E7+B7)/2</f>
        <v>9704032.57</v>
      </c>
      <c r="G7" s="154">
        <v>193728.12</v>
      </c>
    </row>
    <row r="8" spans="1:7" ht="12.75">
      <c r="A8" s="14" t="s">
        <v>4</v>
      </c>
      <c r="B8" s="290"/>
      <c r="C8" s="290"/>
      <c r="D8" s="290"/>
      <c r="E8" s="154">
        <f>+B8+C8-D8</f>
        <v>0</v>
      </c>
      <c r="F8" s="154">
        <f aca="true" t="shared" si="0" ref="F8:F26">+(E8+B8)/2</f>
        <v>0</v>
      </c>
      <c r="G8" s="290"/>
    </row>
    <row r="9" spans="1:7" ht="12.75">
      <c r="A9" s="14" t="s">
        <v>157</v>
      </c>
      <c r="B9" s="290"/>
      <c r="C9" s="290"/>
      <c r="D9" s="290"/>
      <c r="E9" s="154">
        <f>+B9+C9-D9</f>
        <v>0</v>
      </c>
      <c r="F9" s="154">
        <f t="shared" si="0"/>
        <v>0</v>
      </c>
      <c r="G9" s="290"/>
    </row>
    <row r="10" spans="1:7" ht="12.75">
      <c r="A10" s="14" t="s">
        <v>158</v>
      </c>
      <c r="B10" s="290"/>
      <c r="C10" s="290"/>
      <c r="D10" s="290"/>
      <c r="E10" s="154">
        <f>+B10+C10-D10</f>
        <v>0</v>
      </c>
      <c r="F10" s="154">
        <f t="shared" si="0"/>
        <v>0</v>
      </c>
      <c r="G10" s="290"/>
    </row>
    <row r="11" spans="1:7" ht="12.75">
      <c r="A11" s="14" t="s">
        <v>5</v>
      </c>
      <c r="B11" s="290"/>
      <c r="C11" s="290"/>
      <c r="D11" s="290"/>
      <c r="E11" s="154">
        <f>+B11+C11-D11</f>
        <v>0</v>
      </c>
      <c r="F11" s="154">
        <f t="shared" si="0"/>
        <v>0</v>
      </c>
      <c r="G11" s="290"/>
    </row>
    <row r="12" spans="1:7" ht="12.75">
      <c r="A12" s="18" t="s">
        <v>78</v>
      </c>
      <c r="B12" s="154">
        <f>SUM(B13:B16)</f>
        <v>0</v>
      </c>
      <c r="C12" s="154">
        <f>SUM(C13:C16)</f>
        <v>0</v>
      </c>
      <c r="D12" s="154">
        <f>SUM(D13:D16)</f>
        <v>0</v>
      </c>
      <c r="E12" s="154">
        <f>SUM(E13:E16)</f>
        <v>0</v>
      </c>
      <c r="F12" s="154">
        <f t="shared" si="0"/>
        <v>0</v>
      </c>
      <c r="G12" s="154">
        <f>SUM(G13:G16)</f>
        <v>0</v>
      </c>
    </row>
    <row r="13" spans="1:7" ht="12.75">
      <c r="A13" s="14" t="s">
        <v>4</v>
      </c>
      <c r="B13" s="290"/>
      <c r="C13" s="290"/>
      <c r="D13" s="290"/>
      <c r="E13" s="154">
        <f>+B13+C13-D13</f>
        <v>0</v>
      </c>
      <c r="F13" s="154">
        <f t="shared" si="0"/>
        <v>0</v>
      </c>
      <c r="G13" s="290"/>
    </row>
    <row r="14" spans="1:7" ht="12.75">
      <c r="A14" s="14" t="s">
        <v>157</v>
      </c>
      <c r="B14" s="290"/>
      <c r="C14" s="290"/>
      <c r="D14" s="290"/>
      <c r="E14" s="154">
        <f>+B14+C14-D14</f>
        <v>0</v>
      </c>
      <c r="F14" s="154">
        <f t="shared" si="0"/>
        <v>0</v>
      </c>
      <c r="G14" s="290"/>
    </row>
    <row r="15" spans="1:7" ht="12.75">
      <c r="A15" s="14" t="s">
        <v>158</v>
      </c>
      <c r="B15" s="290"/>
      <c r="C15" s="290"/>
      <c r="D15" s="290"/>
      <c r="E15" s="154">
        <f>+B15+C15-D15</f>
        <v>0</v>
      </c>
      <c r="F15" s="154">
        <f t="shared" si="0"/>
        <v>0</v>
      </c>
      <c r="G15" s="290"/>
    </row>
    <row r="16" spans="1:7" ht="12.75">
      <c r="A16" s="14" t="s">
        <v>5</v>
      </c>
      <c r="B16" s="290"/>
      <c r="C16" s="290"/>
      <c r="D16" s="290"/>
      <c r="E16" s="154">
        <f>+B16+C16-D16</f>
        <v>0</v>
      </c>
      <c r="F16" s="154">
        <f t="shared" si="0"/>
        <v>0</v>
      </c>
      <c r="G16" s="290"/>
    </row>
    <row r="17" spans="1:7" ht="12.75">
      <c r="A17" s="120" t="s">
        <v>267</v>
      </c>
      <c r="B17" s="154">
        <v>6112275</v>
      </c>
      <c r="C17" s="154">
        <v>1413121.93</v>
      </c>
      <c r="D17" s="154">
        <v>549000</v>
      </c>
      <c r="E17" s="154">
        <v>6976396.93</v>
      </c>
      <c r="F17" s="154">
        <f t="shared" si="0"/>
        <v>6544335.965</v>
      </c>
      <c r="G17" s="398">
        <v>280427.76</v>
      </c>
    </row>
    <row r="18" spans="1:7" ht="12.75">
      <c r="A18" s="14" t="s">
        <v>4</v>
      </c>
      <c r="B18" s="290"/>
      <c r="C18" s="290"/>
      <c r="D18" s="290"/>
      <c r="E18" s="154">
        <f>+B18+C18-D18</f>
        <v>0</v>
      </c>
      <c r="F18" s="154">
        <f t="shared" si="0"/>
        <v>0</v>
      </c>
      <c r="G18" s="290"/>
    </row>
    <row r="19" spans="1:7" ht="12.75">
      <c r="A19" s="14" t="s">
        <v>157</v>
      </c>
      <c r="B19" s="290"/>
      <c r="C19" s="290"/>
      <c r="D19" s="290"/>
      <c r="E19" s="154">
        <f>+B19+C19-D19</f>
        <v>0</v>
      </c>
      <c r="F19" s="154">
        <f t="shared" si="0"/>
        <v>0</v>
      </c>
      <c r="G19" s="290"/>
    </row>
    <row r="20" spans="1:7" ht="12.75">
      <c r="A20" s="14" t="s">
        <v>158</v>
      </c>
      <c r="B20" s="290"/>
      <c r="C20" s="290"/>
      <c r="D20" s="290"/>
      <c r="E20" s="154">
        <f>+B20+C20-D20</f>
        <v>0</v>
      </c>
      <c r="F20" s="154">
        <f t="shared" si="0"/>
        <v>0</v>
      </c>
      <c r="G20" s="290"/>
    </row>
    <row r="21" spans="1:7" ht="12.75">
      <c r="A21" s="14" t="s">
        <v>5</v>
      </c>
      <c r="B21" s="290"/>
      <c r="C21" s="290"/>
      <c r="D21" s="290"/>
      <c r="E21" s="154">
        <f>+B21+C21-D21</f>
        <v>0</v>
      </c>
      <c r="F21" s="154">
        <f t="shared" si="0"/>
        <v>0</v>
      </c>
      <c r="G21" s="290"/>
    </row>
    <row r="22" spans="1:7" ht="12.75">
      <c r="A22" s="120" t="s">
        <v>268</v>
      </c>
      <c r="B22" s="154">
        <f>B7+B17</f>
        <v>14048931.7</v>
      </c>
      <c r="C22" s="154">
        <v>4947873.67</v>
      </c>
      <c r="D22" s="154">
        <v>549000</v>
      </c>
      <c r="E22" s="154">
        <f>E7+E17</f>
        <v>18447805.369999997</v>
      </c>
      <c r="F22" s="154">
        <f>F7+F17</f>
        <v>16248368.535</v>
      </c>
      <c r="G22" s="154">
        <f>G7+G17</f>
        <v>474155.88</v>
      </c>
    </row>
    <row r="23" spans="1:7" ht="12.75">
      <c r="A23" s="14" t="s">
        <v>4</v>
      </c>
      <c r="B23" s="154">
        <f>+B18+B13+B8</f>
        <v>0</v>
      </c>
      <c r="C23" s="154">
        <f>+C18+C13+C8</f>
        <v>0</v>
      </c>
      <c r="D23" s="154">
        <f>+D18+D13+D8</f>
        <v>0</v>
      </c>
      <c r="E23" s="154">
        <f>+E18+E13+E8</f>
        <v>0</v>
      </c>
      <c r="F23" s="154">
        <f t="shared" si="0"/>
        <v>0</v>
      </c>
      <c r="G23" s="154">
        <f>+G18+G13+G8</f>
        <v>0</v>
      </c>
    </row>
    <row r="24" spans="1:7" ht="12.75">
      <c r="A24" s="14" t="s">
        <v>157</v>
      </c>
      <c r="B24" s="89">
        <f aca="true" t="shared" si="1" ref="B24:D26">+B9+B14+B19</f>
        <v>0</v>
      </c>
      <c r="C24" s="89">
        <f t="shared" si="1"/>
        <v>0</v>
      </c>
      <c r="D24" s="89">
        <f t="shared" si="1"/>
        <v>0</v>
      </c>
      <c r="E24" s="154">
        <f>+B24+C24-D24</f>
        <v>0</v>
      </c>
      <c r="F24" s="154">
        <f t="shared" si="0"/>
        <v>0</v>
      </c>
      <c r="G24" s="89">
        <f>+G9+G14+G19</f>
        <v>0</v>
      </c>
    </row>
    <row r="25" spans="1:7" ht="12.75">
      <c r="A25" s="14" t="s">
        <v>158</v>
      </c>
      <c r="B25" s="89">
        <f t="shared" si="1"/>
        <v>0</v>
      </c>
      <c r="C25" s="89">
        <f t="shared" si="1"/>
        <v>0</v>
      </c>
      <c r="D25" s="89">
        <f t="shared" si="1"/>
        <v>0</v>
      </c>
      <c r="E25" s="154">
        <f>+B25+C25-D25</f>
        <v>0</v>
      </c>
      <c r="F25" s="154">
        <f t="shared" si="0"/>
        <v>0</v>
      </c>
      <c r="G25" s="89">
        <f>+G10+G15+G20</f>
        <v>0</v>
      </c>
    </row>
    <row r="26" spans="1:7" ht="12.75">
      <c r="A26" s="14" t="s">
        <v>5</v>
      </c>
      <c r="B26" s="89">
        <f t="shared" si="1"/>
        <v>0</v>
      </c>
      <c r="C26" s="89">
        <f t="shared" si="1"/>
        <v>0</v>
      </c>
      <c r="D26" s="89">
        <f t="shared" si="1"/>
        <v>0</v>
      </c>
      <c r="E26" s="154">
        <f>+B26+C26-D26</f>
        <v>0</v>
      </c>
      <c r="F26" s="154">
        <f t="shared" si="0"/>
        <v>0</v>
      </c>
      <c r="G26" s="89">
        <f>+G11+G16+G21</f>
        <v>0</v>
      </c>
    </row>
    <row r="28" spans="2:6" ht="15">
      <c r="B28" s="147" t="s">
        <v>247</v>
      </c>
      <c r="C28" s="147" t="s">
        <v>309</v>
      </c>
      <c r="D28" s="423" t="s">
        <v>400</v>
      </c>
      <c r="E28" s="423"/>
      <c r="F28" s="423"/>
    </row>
    <row r="29" spans="1:5" ht="15">
      <c r="A29" s="133"/>
      <c r="C29" s="108" t="s">
        <v>245</v>
      </c>
      <c r="E29" s="108" t="s">
        <v>246</v>
      </c>
    </row>
  </sheetData>
  <sheetProtection/>
  <mergeCells count="2">
    <mergeCell ref="A3:G3"/>
    <mergeCell ref="D28:F28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2"/>
  <sheetViews>
    <sheetView showGridLines="0" view="pageBreakPreview" zoomScale="115" zoomScaleSheetLayoutView="115" zoomScalePageLayoutView="0" workbookViewId="0" topLeftCell="A13">
      <selection activeCell="E27" sqref="E27"/>
    </sheetView>
  </sheetViews>
  <sheetFormatPr defaultColWidth="10.625" defaultRowHeight="12.75"/>
  <cols>
    <col min="1" max="1" width="6.50390625" style="22" customWidth="1"/>
    <col min="2" max="2" width="59.375" style="22" customWidth="1"/>
    <col min="3" max="3" width="17.125" style="66" customWidth="1"/>
    <col min="4" max="5" width="17.125" style="67" customWidth="1"/>
    <col min="6" max="6" width="16.50390625" style="22" customWidth="1"/>
    <col min="7" max="7" width="19.375" style="22" customWidth="1"/>
    <col min="8" max="8" width="20.125" style="22" customWidth="1"/>
    <col min="9" max="9" width="11.00390625" style="22" bestFit="1" customWidth="1"/>
    <col min="10" max="16384" width="10.625" style="22" customWidth="1"/>
  </cols>
  <sheetData>
    <row r="1" spans="1:5" ht="16.5">
      <c r="A1" s="127" t="str">
        <f>+Заполнить!C2</f>
        <v>МУП "Тепловодоснабжение" </v>
      </c>
      <c r="E1" s="16" t="s">
        <v>325</v>
      </c>
    </row>
    <row r="2" spans="2:5" s="182" customFormat="1" ht="12.75">
      <c r="B2" s="199"/>
      <c r="C2" s="197"/>
      <c r="D2" s="200"/>
      <c r="E2" s="200"/>
    </row>
    <row r="3" spans="1:5" ht="16.5">
      <c r="A3" s="428" t="s">
        <v>79</v>
      </c>
      <c r="B3" s="428"/>
      <c r="C3" s="428"/>
      <c r="D3" s="428"/>
      <c r="E3" s="428"/>
    </row>
    <row r="4" spans="2:5" s="182" customFormat="1" ht="12.75">
      <c r="B4" s="196"/>
      <c r="C4" s="197"/>
      <c r="D4" s="198"/>
      <c r="E4" s="198"/>
    </row>
    <row r="5" spans="1:5" ht="25.5">
      <c r="A5" s="11" t="s">
        <v>321</v>
      </c>
      <c r="B5" s="130" t="s">
        <v>80</v>
      </c>
      <c r="C5" s="131">
        <v>2016</v>
      </c>
      <c r="D5" s="131">
        <f>+Заполнить!C4</f>
        <v>2017</v>
      </c>
      <c r="E5" s="131" t="str">
        <f>+Заполнить!C5</f>
        <v>2018-2022гг</v>
      </c>
    </row>
    <row r="6" spans="1:5" ht="16.5">
      <c r="A6" s="183">
        <v>1</v>
      </c>
      <c r="B6" s="183">
        <v>2</v>
      </c>
      <c r="C6" s="183">
        <v>3</v>
      </c>
      <c r="D6" s="183">
        <v>4</v>
      </c>
      <c r="E6" s="183">
        <v>5</v>
      </c>
    </row>
    <row r="7" spans="1:5" ht="16.5">
      <c r="A7" s="184">
        <v>1</v>
      </c>
      <c r="B7" s="185" t="s">
        <v>276</v>
      </c>
      <c r="C7" s="369">
        <v>1263</v>
      </c>
      <c r="D7" s="369">
        <v>2976.73</v>
      </c>
      <c r="E7" s="369">
        <v>3883.58</v>
      </c>
    </row>
    <row r="8" spans="1:5" ht="16.5">
      <c r="A8" s="184">
        <v>2</v>
      </c>
      <c r="B8" s="185" t="s">
        <v>197</v>
      </c>
      <c r="C8" s="369">
        <v>297</v>
      </c>
      <c r="D8" s="369">
        <v>326.7</v>
      </c>
      <c r="E8" s="369">
        <v>359.37</v>
      </c>
    </row>
    <row r="9" spans="1:5" ht="16.5">
      <c r="A9" s="184">
        <v>3</v>
      </c>
      <c r="B9" s="232" t="s">
        <v>275</v>
      </c>
      <c r="C9" s="365">
        <v>5924</v>
      </c>
      <c r="D9" s="365">
        <f>'3. Оплата труда'!E33</f>
        <v>11097.824973416999</v>
      </c>
      <c r="E9" s="365">
        <f>'3. Оплата труда'!F33</f>
        <v>11640.809479923</v>
      </c>
    </row>
    <row r="10" spans="1:5" ht="25.5">
      <c r="A10" s="184" t="s">
        <v>12</v>
      </c>
      <c r="B10" s="232" t="s">
        <v>249</v>
      </c>
      <c r="C10" s="369">
        <v>1786</v>
      </c>
      <c r="D10" s="369">
        <f>D9*30.2%</f>
        <v>3351.5431419719334</v>
      </c>
      <c r="E10" s="369">
        <f>E9*30.2%</f>
        <v>3515.5244629367457</v>
      </c>
    </row>
    <row r="11" spans="1:5" ht="25.5">
      <c r="A11" s="184" t="s">
        <v>13</v>
      </c>
      <c r="B11" s="185" t="s">
        <v>326</v>
      </c>
      <c r="C11" s="366">
        <f>C12</f>
        <v>423</v>
      </c>
      <c r="D11" s="366">
        <f>D12</f>
        <v>848</v>
      </c>
      <c r="E11" s="366">
        <f>E12+E17+E18+E19</f>
        <v>848</v>
      </c>
    </row>
    <row r="12" spans="1:6" ht="16.5">
      <c r="A12" s="186" t="s">
        <v>14</v>
      </c>
      <c r="B12" s="187" t="s">
        <v>81</v>
      </c>
      <c r="C12" s="366">
        <v>423</v>
      </c>
      <c r="D12" s="366">
        <f>'4. Амортизация'!D12</f>
        <v>848</v>
      </c>
      <c r="E12" s="366">
        <f>'4. Амортизация'!E12</f>
        <v>848</v>
      </c>
      <c r="F12" s="201"/>
    </row>
    <row r="13" spans="1:6" ht="16.5">
      <c r="A13" s="186"/>
      <c r="B13" s="187" t="s">
        <v>4</v>
      </c>
      <c r="C13" s="369"/>
      <c r="D13" s="369"/>
      <c r="E13" s="366">
        <f>'5. Расчет ОПФ'!G23</f>
        <v>0</v>
      </c>
      <c r="F13" s="202"/>
    </row>
    <row r="14" spans="1:6" ht="16.5">
      <c r="A14" s="186"/>
      <c r="B14" s="187" t="s">
        <v>157</v>
      </c>
      <c r="C14" s="369"/>
      <c r="D14" s="369"/>
      <c r="E14" s="366">
        <f>'5. Расчет ОПФ'!G24</f>
        <v>0</v>
      </c>
      <c r="F14" s="202"/>
    </row>
    <row r="15" spans="1:6" ht="16.5">
      <c r="A15" s="186"/>
      <c r="B15" s="187" t="s">
        <v>158</v>
      </c>
      <c r="C15" s="369"/>
      <c r="D15" s="369"/>
      <c r="E15" s="366">
        <f>'5. Расчет ОПФ'!G25</f>
        <v>0</v>
      </c>
      <c r="F15" s="202"/>
    </row>
    <row r="16" spans="1:5" ht="16.5">
      <c r="A16" s="186"/>
      <c r="B16" s="187" t="s">
        <v>5</v>
      </c>
      <c r="C16" s="369"/>
      <c r="D16" s="369"/>
      <c r="E16" s="366">
        <f>'5. Расчет ОПФ'!G26</f>
        <v>0</v>
      </c>
    </row>
    <row r="17" spans="1:5" ht="16.5">
      <c r="A17" s="186" t="s">
        <v>187</v>
      </c>
      <c r="B17" s="185" t="s">
        <v>292</v>
      </c>
      <c r="C17" s="369"/>
      <c r="D17" s="369"/>
      <c r="E17" s="369"/>
    </row>
    <row r="18" spans="1:5" ht="28.5" customHeight="1">
      <c r="A18" s="186" t="s">
        <v>274</v>
      </c>
      <c r="B18" s="185" t="s">
        <v>327</v>
      </c>
      <c r="C18" s="369"/>
      <c r="D18" s="369"/>
      <c r="E18" s="369">
        <f>'11. Ремонты'!G61</f>
        <v>0</v>
      </c>
    </row>
    <row r="19" spans="1:5" ht="16.5">
      <c r="A19" s="186" t="s">
        <v>294</v>
      </c>
      <c r="B19" s="232" t="s">
        <v>322</v>
      </c>
      <c r="C19" s="369"/>
      <c r="D19" s="369"/>
      <c r="E19" s="369"/>
    </row>
    <row r="20" spans="1:5" ht="38.25">
      <c r="A20" s="186" t="s">
        <v>28</v>
      </c>
      <c r="B20" s="232" t="s">
        <v>395</v>
      </c>
      <c r="C20" s="369">
        <v>407</v>
      </c>
      <c r="D20" s="369">
        <v>483.5</v>
      </c>
      <c r="E20" s="369">
        <v>731</v>
      </c>
    </row>
    <row r="21" spans="1:5" ht="16.5">
      <c r="A21" s="186" t="s">
        <v>29</v>
      </c>
      <c r="B21" s="375" t="s">
        <v>323</v>
      </c>
      <c r="C21" s="369"/>
      <c r="D21" s="369"/>
      <c r="E21" s="369"/>
    </row>
    <row r="22" spans="1:5" ht="16.5" customHeight="1">
      <c r="A22" s="186" t="s">
        <v>30</v>
      </c>
      <c r="B22" s="375" t="s">
        <v>324</v>
      </c>
      <c r="C22" s="365">
        <f>C29</f>
        <v>1960</v>
      </c>
      <c r="D22" s="365">
        <f>+D23+D28+D29</f>
        <v>1796</v>
      </c>
      <c r="E22" s="365">
        <f>+E23+E28+E29</f>
        <v>3969.6</v>
      </c>
    </row>
    <row r="23" spans="1:5" ht="16.5">
      <c r="A23" s="186" t="s">
        <v>269</v>
      </c>
      <c r="B23" s="188" t="s">
        <v>82</v>
      </c>
      <c r="C23" s="365"/>
      <c r="D23" s="365"/>
      <c r="E23" s="365">
        <v>181.9</v>
      </c>
    </row>
    <row r="24" spans="1:5" ht="16.5">
      <c r="A24" s="186"/>
      <c r="B24" s="189" t="s">
        <v>4</v>
      </c>
      <c r="C24" s="369"/>
      <c r="D24" s="369"/>
      <c r="E24" s="369"/>
    </row>
    <row r="25" spans="1:5" ht="16.5">
      <c r="A25" s="186"/>
      <c r="B25" s="187" t="s">
        <v>157</v>
      </c>
      <c r="C25" s="369"/>
      <c r="D25" s="369"/>
      <c r="E25" s="369"/>
    </row>
    <row r="26" spans="1:5" ht="16.5">
      <c r="A26" s="186"/>
      <c r="B26" s="187" t="s">
        <v>158</v>
      </c>
      <c r="C26" s="369"/>
      <c r="D26" s="369"/>
      <c r="E26" s="369"/>
    </row>
    <row r="27" spans="1:5" ht="16.5">
      <c r="A27" s="186"/>
      <c r="B27" s="189" t="s">
        <v>5</v>
      </c>
      <c r="C27" s="369"/>
      <c r="D27" s="369"/>
      <c r="E27" s="369"/>
    </row>
    <row r="28" spans="1:5" ht="16.5">
      <c r="A28" s="186" t="s">
        <v>278</v>
      </c>
      <c r="B28" s="188" t="s">
        <v>277</v>
      </c>
      <c r="C28" s="369"/>
      <c r="D28" s="369"/>
      <c r="E28" s="369"/>
    </row>
    <row r="29" spans="1:5" ht="16.5">
      <c r="A29" s="186" t="s">
        <v>290</v>
      </c>
      <c r="B29" s="189" t="s">
        <v>279</v>
      </c>
      <c r="C29" s="369">
        <v>1960</v>
      </c>
      <c r="D29" s="369">
        <v>1796</v>
      </c>
      <c r="E29" s="369">
        <v>3787.7</v>
      </c>
    </row>
    <row r="30" spans="1:5" ht="16.5">
      <c r="A30" s="186" t="s">
        <v>32</v>
      </c>
      <c r="B30" s="189" t="s">
        <v>196</v>
      </c>
      <c r="C30" s="369">
        <v>268</v>
      </c>
      <c r="D30" s="369">
        <v>294.8</v>
      </c>
      <c r="E30" s="369">
        <v>324.28</v>
      </c>
    </row>
    <row r="31" spans="1:5" ht="16.5">
      <c r="A31" s="186" t="s">
        <v>33</v>
      </c>
      <c r="B31" s="185" t="s">
        <v>83</v>
      </c>
      <c r="C31" s="369"/>
      <c r="D31" s="369"/>
      <c r="E31" s="369"/>
    </row>
    <row r="32" spans="1:5" ht="25.5">
      <c r="A32" s="186" t="s">
        <v>35</v>
      </c>
      <c r="B32" s="185" t="s">
        <v>39</v>
      </c>
      <c r="C32" s="369"/>
      <c r="D32" s="369"/>
      <c r="E32" s="369"/>
    </row>
    <row r="33" spans="1:6" ht="16.5">
      <c r="A33" s="186" t="s">
        <v>37</v>
      </c>
      <c r="B33" s="372" t="s">
        <v>84</v>
      </c>
      <c r="C33" s="368">
        <f>C7+C8+C9+C10+C11+C20+C22+C30</f>
        <v>12328</v>
      </c>
      <c r="D33" s="368">
        <f>D7+D8+D9+D10+D11+D20+D22+D30</f>
        <v>21175.098115388933</v>
      </c>
      <c r="E33" s="368">
        <f>E7+E8+E9+E10+E11+E20+E22+E30</f>
        <v>25272.16394285974</v>
      </c>
      <c r="F33" s="64"/>
    </row>
    <row r="34" spans="1:5" ht="16.5">
      <c r="A34" s="186"/>
      <c r="B34" s="190" t="s">
        <v>41</v>
      </c>
      <c r="C34" s="367"/>
      <c r="D34" s="367"/>
      <c r="E34" s="367"/>
    </row>
    <row r="35" spans="1:5" ht="16.5">
      <c r="A35" s="186"/>
      <c r="B35" s="187" t="s">
        <v>4</v>
      </c>
      <c r="C35" s="374"/>
      <c r="D35" s="374"/>
      <c r="E35" s="365">
        <f>E24+E13+(E33-E24-E13)*'12. Тариф'!D32</f>
        <v>0</v>
      </c>
    </row>
    <row r="36" spans="1:5" ht="16.5">
      <c r="A36" s="186"/>
      <c r="B36" s="187" t="s">
        <v>157</v>
      </c>
      <c r="C36" s="374"/>
      <c r="D36" s="374"/>
      <c r="E36" s="365">
        <f>E25+E14+(E33-E25-E14)*'12. Тариф'!E32</f>
        <v>750.433182466441</v>
      </c>
    </row>
    <row r="37" spans="1:5" ht="16.5">
      <c r="A37" s="186"/>
      <c r="B37" s="187" t="s">
        <v>158</v>
      </c>
      <c r="C37" s="374"/>
      <c r="D37" s="374"/>
      <c r="E37" s="365">
        <f>E26+E15+(E33-E26-E15)*'12. Тариф'!F32</f>
        <v>16692.969236642388</v>
      </c>
    </row>
    <row r="38" spans="1:5" ht="16.5">
      <c r="A38" s="186"/>
      <c r="B38" s="187" t="s">
        <v>5</v>
      </c>
      <c r="C38" s="374"/>
      <c r="D38" s="374"/>
      <c r="E38" s="365">
        <f>E27+E16+(E33-E27-E16)*'12. Тариф'!G32</f>
        <v>7828.761523750912</v>
      </c>
    </row>
    <row r="39" spans="1:5" ht="16.5">
      <c r="A39" s="186" t="s">
        <v>38</v>
      </c>
      <c r="B39" s="189" t="s">
        <v>85</v>
      </c>
      <c r="C39" s="369">
        <v>29.56</v>
      </c>
      <c r="D39" s="365">
        <f>+'1. Баланс'!C31</f>
        <v>32.1</v>
      </c>
      <c r="E39" s="365">
        <f>+'1. Баланс'!H31</f>
        <v>32.36</v>
      </c>
    </row>
    <row r="40" spans="1:5" ht="16.5">
      <c r="A40" s="186" t="s">
        <v>40</v>
      </c>
      <c r="B40" s="191" t="s">
        <v>86</v>
      </c>
      <c r="C40" s="365">
        <f>IF(C39&gt;0,C33/C39,0)</f>
        <v>417.05006765899867</v>
      </c>
      <c r="D40" s="365">
        <f>IF(D39&gt;0,D33/D39,0)</f>
        <v>659.6603774264465</v>
      </c>
      <c r="E40" s="365">
        <f>IF(E39&gt;0,E33/E39,0)</f>
        <v>780.9692194950476</v>
      </c>
    </row>
    <row r="41" spans="1:5" ht="16.5">
      <c r="A41" s="186" t="s">
        <v>89</v>
      </c>
      <c r="B41" s="189" t="s">
        <v>87</v>
      </c>
      <c r="C41" s="373"/>
      <c r="D41" s="373"/>
      <c r="E41" s="373"/>
    </row>
    <row r="42" spans="1:5" ht="16.5">
      <c r="A42" s="186" t="s">
        <v>207</v>
      </c>
      <c r="B42" s="191" t="s">
        <v>88</v>
      </c>
      <c r="C42" s="373"/>
      <c r="D42" s="373"/>
      <c r="E42" s="373"/>
    </row>
    <row r="43" spans="1:5" ht="14.25" customHeight="1">
      <c r="A43" s="427" t="s">
        <v>396</v>
      </c>
      <c r="B43" s="427"/>
      <c r="C43" s="427"/>
      <c r="D43" s="427"/>
      <c r="E43" s="427"/>
    </row>
    <row r="44" spans="1:5" ht="26.25" customHeight="1">
      <c r="A44" s="427" t="s">
        <v>293</v>
      </c>
      <c r="B44" s="427"/>
      <c r="C44" s="427"/>
      <c r="D44" s="427"/>
      <c r="E44" s="427"/>
    </row>
    <row r="45" spans="1:5" ht="16.5">
      <c r="A45" s="427" t="s">
        <v>296</v>
      </c>
      <c r="B45" s="427"/>
      <c r="C45" s="427"/>
      <c r="D45" s="427"/>
      <c r="E45" s="427"/>
    </row>
    <row r="46" spans="1:5" ht="12.75" customHeight="1">
      <c r="A46" s="427" t="s">
        <v>394</v>
      </c>
      <c r="B46" s="427"/>
      <c r="C46" s="427"/>
      <c r="D46" s="427"/>
      <c r="E46" s="427"/>
    </row>
    <row r="47" spans="1:5" ht="11.25" customHeight="1">
      <c r="A47" s="195"/>
      <c r="B47" s="195"/>
      <c r="C47" s="195"/>
      <c r="D47" s="195"/>
      <c r="E47" s="195"/>
    </row>
    <row r="48" spans="1:6" ht="9.75" customHeight="1">
      <c r="A48" s="182"/>
      <c r="B48" s="192"/>
      <c r="C48" s="193"/>
      <c r="D48" s="193"/>
      <c r="E48" s="193"/>
      <c r="F48"/>
    </row>
    <row r="49" spans="1:6" ht="16.5">
      <c r="A49" s="169" t="s">
        <v>317</v>
      </c>
      <c r="B49" s="164"/>
      <c r="C49" s="169" t="s">
        <v>400</v>
      </c>
      <c r="D49" s="170"/>
      <c r="E49" s="194"/>
      <c r="F49"/>
    </row>
    <row r="50" spans="1:4" ht="16.5">
      <c r="A50" s="164" t="s">
        <v>313</v>
      </c>
      <c r="B50" s="172"/>
      <c r="C50" s="170"/>
      <c r="D50" s="170"/>
    </row>
    <row r="51" ht="16.5">
      <c r="B51" s="23"/>
    </row>
    <row r="52" ht="16.5">
      <c r="B52" s="23"/>
    </row>
  </sheetData>
  <sheetProtection/>
  <mergeCells count="5">
    <mergeCell ref="A46:E46"/>
    <mergeCell ref="A3:E3"/>
    <mergeCell ref="A43:E43"/>
    <mergeCell ref="A44:E44"/>
    <mergeCell ref="A45:E45"/>
  </mergeCells>
  <printOptions horizontalCentered="1"/>
  <pageMargins left="0.7874015748031497" right="0.3937007874015748" top="0.3937007874015748" bottom="0.3937007874015748" header="0" footer="0"/>
  <pageSetup blackAndWhite="1"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9"/>
  <sheetViews>
    <sheetView showGridLines="0" view="pageBreakPreview" zoomScale="115" zoomScaleNormal="85" zoomScaleSheetLayoutView="115" zoomScalePageLayoutView="0" workbookViewId="0" topLeftCell="A1">
      <selection activeCell="C22" sqref="C22"/>
    </sheetView>
  </sheetViews>
  <sheetFormatPr defaultColWidth="10.625" defaultRowHeight="12.75"/>
  <cols>
    <col min="1" max="1" width="6.875" style="7" customWidth="1"/>
    <col min="2" max="2" width="67.50390625" style="7" customWidth="1"/>
    <col min="3" max="5" width="12.875" style="7" customWidth="1"/>
    <col min="6" max="16384" width="10.625" style="7" customWidth="1"/>
  </cols>
  <sheetData>
    <row r="1" spans="1:5" ht="15.75">
      <c r="A1" s="124" t="str">
        <f>+Заполнить!C2</f>
        <v>МУП "Тепловодоснабжение" </v>
      </c>
      <c r="E1" s="205" t="s">
        <v>329</v>
      </c>
    </row>
    <row r="2" s="203" customFormat="1" ht="15.75"/>
    <row r="3" spans="1:5" s="203" customFormat="1" ht="15.75">
      <c r="A3" s="429" t="s">
        <v>328</v>
      </c>
      <c r="B3" s="429"/>
      <c r="C3" s="429"/>
      <c r="D3" s="429"/>
      <c r="E3" s="429"/>
    </row>
    <row r="4" spans="2:5" s="203" customFormat="1" ht="15.75">
      <c r="B4" s="204"/>
      <c r="C4" s="204"/>
      <c r="D4" s="204"/>
      <c r="E4" s="204"/>
    </row>
    <row r="5" ht="12.75">
      <c r="E5" s="8" t="s">
        <v>90</v>
      </c>
    </row>
    <row r="6" spans="1:5" ht="25.5">
      <c r="A6" s="9" t="s">
        <v>330</v>
      </c>
      <c r="B6" s="24" t="s">
        <v>91</v>
      </c>
      <c r="C6" s="9">
        <v>2016</v>
      </c>
      <c r="D6" s="9">
        <f>+Заполнить!C4</f>
        <v>2017</v>
      </c>
      <c r="E6" s="9" t="str">
        <f>+Заполнить!C5</f>
        <v>2018-2022гг</v>
      </c>
    </row>
    <row r="7" spans="1:5" ht="12.75">
      <c r="A7" s="206">
        <v>1</v>
      </c>
      <c r="B7" s="24">
        <v>2</v>
      </c>
      <c r="C7" s="9">
        <v>3</v>
      </c>
      <c r="D7" s="9">
        <v>4</v>
      </c>
      <c r="E7" s="9">
        <v>5</v>
      </c>
    </row>
    <row r="8" spans="1:5" ht="12.75">
      <c r="A8" s="206" t="s">
        <v>7</v>
      </c>
      <c r="B8" s="10" t="s">
        <v>92</v>
      </c>
      <c r="C8" s="283">
        <f>SUM(C10:C11)</f>
        <v>1445</v>
      </c>
      <c r="D8" s="283">
        <f>SUM(D10:D11)</f>
        <v>1536</v>
      </c>
      <c r="E8" s="283">
        <f>SUM(E10:E11)</f>
        <v>2208</v>
      </c>
    </row>
    <row r="9" spans="1:5" ht="12.75">
      <c r="A9" s="206"/>
      <c r="B9" s="25" t="s">
        <v>93</v>
      </c>
      <c r="C9" s="284"/>
      <c r="D9" s="285"/>
      <c r="E9" s="285"/>
    </row>
    <row r="10" spans="1:5" ht="12.75">
      <c r="A10" s="206"/>
      <c r="B10" s="10" t="s">
        <v>242</v>
      </c>
      <c r="C10" s="329">
        <v>1445</v>
      </c>
      <c r="D10" s="329">
        <v>1536</v>
      </c>
      <c r="E10" s="329">
        <v>2208</v>
      </c>
    </row>
    <row r="11" spans="1:5" ht="12.75">
      <c r="A11" s="206"/>
      <c r="B11" s="10" t="s">
        <v>94</v>
      </c>
      <c r="C11" s="329"/>
      <c r="D11" s="329"/>
      <c r="E11" s="329"/>
    </row>
    <row r="12" spans="1:5" ht="12.75">
      <c r="A12" s="206" t="s">
        <v>11</v>
      </c>
      <c r="B12" s="26" t="s">
        <v>385</v>
      </c>
      <c r="C12" s="286"/>
      <c r="D12" s="283"/>
      <c r="E12" s="283"/>
    </row>
    <row r="13" spans="1:5" ht="25.5">
      <c r="A13" s="206" t="s">
        <v>44</v>
      </c>
      <c r="B13" s="26" t="s">
        <v>354</v>
      </c>
      <c r="C13" s="329">
        <v>335.9</v>
      </c>
      <c r="D13" s="329">
        <v>471.9</v>
      </c>
      <c r="E13" s="329">
        <v>542.6</v>
      </c>
    </row>
    <row r="14" spans="1:5" ht="12.75">
      <c r="A14" s="206" t="s">
        <v>47</v>
      </c>
      <c r="B14" s="10" t="s">
        <v>95</v>
      </c>
      <c r="C14" s="329"/>
      <c r="D14" s="329"/>
      <c r="E14" s="329"/>
    </row>
    <row r="15" spans="1:5" ht="12.75">
      <c r="A15" s="206" t="s">
        <v>49</v>
      </c>
      <c r="B15" s="10" t="s">
        <v>96</v>
      </c>
      <c r="C15" s="329">
        <v>271.66</v>
      </c>
      <c r="D15" s="329">
        <v>368</v>
      </c>
      <c r="E15" s="329">
        <v>423.2</v>
      </c>
    </row>
    <row r="16" spans="1:5" ht="12.75">
      <c r="A16" s="206" t="s">
        <v>51</v>
      </c>
      <c r="B16" s="10" t="s">
        <v>97</v>
      </c>
      <c r="C16" s="329"/>
      <c r="D16" s="329"/>
      <c r="E16" s="329"/>
    </row>
    <row r="17" spans="1:5" ht="12.75">
      <c r="A17" s="206" t="s">
        <v>53</v>
      </c>
      <c r="B17" s="26" t="s">
        <v>98</v>
      </c>
      <c r="C17" s="330"/>
      <c r="D17" s="329"/>
      <c r="E17" s="329"/>
    </row>
    <row r="18" spans="1:5" ht="12.75">
      <c r="A18" s="206" t="s">
        <v>55</v>
      </c>
      <c r="B18" s="10" t="s">
        <v>99</v>
      </c>
      <c r="C18" s="329">
        <v>548</v>
      </c>
      <c r="D18" s="329">
        <v>384</v>
      </c>
      <c r="E18" s="329"/>
    </row>
    <row r="19" spans="1:5" ht="12.75">
      <c r="A19" s="206" t="s">
        <v>57</v>
      </c>
      <c r="B19" s="10" t="s">
        <v>241</v>
      </c>
      <c r="C19" s="329"/>
      <c r="D19" s="329"/>
      <c r="E19" s="329"/>
    </row>
    <row r="20" spans="1:5" ht="12.75">
      <c r="A20" s="206" t="s">
        <v>61</v>
      </c>
      <c r="B20" s="10" t="s">
        <v>100</v>
      </c>
      <c r="C20" s="329"/>
      <c r="D20" s="329"/>
      <c r="E20" s="329"/>
    </row>
    <row r="21" spans="1:5" ht="12.75">
      <c r="A21" s="206" t="s">
        <v>63</v>
      </c>
      <c r="B21" s="10" t="s">
        <v>101</v>
      </c>
      <c r="C21" s="283">
        <f>C13+C14+C15+C16+C17+C18+C19+C20</f>
        <v>1155.56</v>
      </c>
      <c r="D21" s="283">
        <f>D13+D14+D15+D16+D17+D18+D19+D20</f>
        <v>1223.9</v>
      </c>
      <c r="E21" s="283">
        <f>E13+E14+E15+E16+E17+E18+E19+E20</f>
        <v>965.8</v>
      </c>
    </row>
    <row r="22" spans="1:5" ht="25.5">
      <c r="A22" s="206" t="s">
        <v>65</v>
      </c>
      <c r="B22" s="26" t="s">
        <v>353</v>
      </c>
      <c r="C22" s="283">
        <f>'9. Прибыль'!C9+'9. Прибыль'!C15</f>
        <v>2600.56</v>
      </c>
      <c r="D22" s="283">
        <f>'9. Прибыль'!D9+'9. Прибыль'!D15</f>
        <v>2759.9</v>
      </c>
      <c r="E22" s="283">
        <f>'9. Прибыль'!E9+'9. Прибыль'!E15</f>
        <v>3173</v>
      </c>
    </row>
    <row r="26" spans="1:4" ht="15">
      <c r="A26" s="169" t="s">
        <v>317</v>
      </c>
      <c r="B26" s="164"/>
      <c r="C26" s="169" t="s">
        <v>400</v>
      </c>
      <c r="D26" s="169"/>
    </row>
    <row r="27" spans="1:5" ht="15">
      <c r="A27" s="164" t="s">
        <v>313</v>
      </c>
      <c r="B27" s="172"/>
      <c r="C27" s="170"/>
      <c r="D27" s="170"/>
      <c r="E27" s="109"/>
    </row>
    <row r="28" spans="2:5" ht="18.75">
      <c r="B28" s="430" t="s">
        <v>102</v>
      </c>
      <c r="C28" s="430"/>
      <c r="D28" s="430"/>
      <c r="E28" s="430"/>
    </row>
    <row r="29" spans="1:5" ht="12.75">
      <c r="A29" s="7" t="s">
        <v>244</v>
      </c>
      <c r="B29" s="7" t="s">
        <v>243</v>
      </c>
      <c r="D29" s="7">
        <f>+D21+D22-D8</f>
        <v>2447.8</v>
      </c>
      <c r="E29" s="7">
        <f>+E21+E22-E8</f>
        <v>1930.8000000000002</v>
      </c>
    </row>
  </sheetData>
  <sheetProtection/>
  <mergeCells count="2">
    <mergeCell ref="A3:E3"/>
    <mergeCell ref="B28:E28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9"/>
  <sheetViews>
    <sheetView showGridLines="0" view="pageBreakPreview" zoomScale="115" zoomScaleSheetLayoutView="115" zoomScalePageLayoutView="0" workbookViewId="0" topLeftCell="A1">
      <selection activeCell="E10" sqref="E10"/>
    </sheetView>
  </sheetViews>
  <sheetFormatPr defaultColWidth="9.00390625" defaultRowHeight="12.75"/>
  <cols>
    <col min="1" max="1" width="22.625" style="0" customWidth="1"/>
    <col min="2" max="7" width="18.00390625" style="0" customWidth="1"/>
  </cols>
  <sheetData>
    <row r="1" spans="1:7" ht="15.75">
      <c r="A1" s="128" t="str">
        <f>+Заполнить!C2</f>
        <v>МУП "Тепловодоснабжение" </v>
      </c>
      <c r="B1" s="27"/>
      <c r="C1" s="27"/>
      <c r="D1" s="13"/>
      <c r="E1" s="13"/>
      <c r="F1" s="432" t="s">
        <v>334</v>
      </c>
      <c r="G1" s="433"/>
    </row>
    <row r="2" spans="1:7" ht="12.75">
      <c r="A2" s="27"/>
      <c r="B2" s="27"/>
      <c r="C2" s="27"/>
      <c r="D2" s="28"/>
      <c r="E2" s="13"/>
      <c r="F2" s="13"/>
      <c r="G2" s="13"/>
    </row>
    <row r="3" spans="1:7" ht="34.5" customHeight="1">
      <c r="A3" s="434" t="s">
        <v>333</v>
      </c>
      <c r="B3" s="434"/>
      <c r="C3" s="434"/>
      <c r="D3" s="434"/>
      <c r="E3" s="434"/>
      <c r="F3" s="434"/>
      <c r="G3" s="434"/>
    </row>
    <row r="4" spans="1:7" ht="18.75">
      <c r="A4" s="435"/>
      <c r="B4" s="435"/>
      <c r="C4" s="435"/>
      <c r="D4" s="435"/>
      <c r="E4" s="13"/>
      <c r="F4" s="13"/>
      <c r="G4" s="13"/>
    </row>
    <row r="5" spans="1:7" ht="15">
      <c r="A5" s="209"/>
      <c r="B5" s="209"/>
      <c r="C5" s="209"/>
      <c r="D5" s="210"/>
      <c r="E5" s="210"/>
      <c r="F5" s="210"/>
      <c r="G5" s="211" t="s">
        <v>90</v>
      </c>
    </row>
    <row r="6" spans="1:7" ht="15">
      <c r="A6" s="431" t="s">
        <v>103</v>
      </c>
      <c r="B6" s="431" t="s">
        <v>104</v>
      </c>
      <c r="C6" s="431" t="s">
        <v>105</v>
      </c>
      <c r="D6" s="431"/>
      <c r="E6" s="431" t="s">
        <v>106</v>
      </c>
      <c r="F6" s="431" t="s">
        <v>332</v>
      </c>
      <c r="G6" s="431" t="s">
        <v>331</v>
      </c>
    </row>
    <row r="7" spans="1:7" ht="12.75">
      <c r="A7" s="431"/>
      <c r="B7" s="431"/>
      <c r="C7" s="431" t="s">
        <v>107</v>
      </c>
      <c r="D7" s="431" t="s">
        <v>108</v>
      </c>
      <c r="E7" s="431"/>
      <c r="F7" s="431"/>
      <c r="G7" s="431"/>
    </row>
    <row r="8" spans="1:7" ht="12.75">
      <c r="A8" s="431"/>
      <c r="B8" s="431"/>
      <c r="C8" s="431"/>
      <c r="D8" s="431"/>
      <c r="E8" s="431"/>
      <c r="F8" s="431"/>
      <c r="G8" s="431"/>
    </row>
    <row r="9" spans="1:7" ht="15">
      <c r="A9" s="212">
        <v>1</v>
      </c>
      <c r="B9" s="207">
        <v>2</v>
      </c>
      <c r="C9" s="207">
        <v>3</v>
      </c>
      <c r="D9" s="207">
        <v>4</v>
      </c>
      <c r="E9" s="213">
        <v>5</v>
      </c>
      <c r="F9" s="213">
        <v>6</v>
      </c>
      <c r="G9" s="213">
        <v>7</v>
      </c>
    </row>
    <row r="10" spans="1:7" ht="15">
      <c r="A10" s="212" t="s">
        <v>6</v>
      </c>
      <c r="B10" s="354">
        <f>SUM(B12:B15)</f>
        <v>2316.5</v>
      </c>
      <c r="C10" s="353">
        <f>SUM(C12:C15)</f>
        <v>2600.56</v>
      </c>
      <c r="D10" s="353">
        <f>SUM(D12:D15)</f>
        <v>2052.56</v>
      </c>
      <c r="E10" s="356">
        <f>D10-C10</f>
        <v>-548</v>
      </c>
      <c r="F10" s="356">
        <f>SUM(F12:F15)</f>
        <v>3173.7999999999997</v>
      </c>
      <c r="G10" s="356"/>
    </row>
    <row r="11" spans="1:7" ht="15">
      <c r="A11" s="212" t="s">
        <v>34</v>
      </c>
      <c r="B11" s="357"/>
      <c r="C11" s="357"/>
      <c r="D11" s="357"/>
      <c r="E11" s="356"/>
      <c r="F11" s="356"/>
      <c r="G11" s="356"/>
    </row>
    <row r="12" spans="1:7" ht="23.25">
      <c r="A12" s="401" t="s">
        <v>448</v>
      </c>
      <c r="B12" s="353">
        <v>1511.6</v>
      </c>
      <c r="C12" s="353">
        <v>1445</v>
      </c>
      <c r="D12" s="353">
        <v>1445</v>
      </c>
      <c r="E12" s="356">
        <f>D12-C12</f>
        <v>0</v>
      </c>
      <c r="F12" s="355">
        <v>2208</v>
      </c>
      <c r="G12" s="355"/>
    </row>
    <row r="13" spans="1:7" ht="15">
      <c r="A13" s="401" t="s">
        <v>76</v>
      </c>
      <c r="B13" s="353">
        <v>804.9</v>
      </c>
      <c r="C13" s="353">
        <v>335.9</v>
      </c>
      <c r="D13" s="353">
        <v>335.9</v>
      </c>
      <c r="E13" s="356">
        <f>D13-C13</f>
        <v>0</v>
      </c>
      <c r="F13" s="355">
        <v>542.6</v>
      </c>
      <c r="G13" s="355"/>
    </row>
    <row r="14" spans="1:7" ht="15">
      <c r="A14" s="401" t="s">
        <v>449</v>
      </c>
      <c r="B14" s="353"/>
      <c r="C14" s="353">
        <v>271.66</v>
      </c>
      <c r="D14" s="353">
        <v>271.66</v>
      </c>
      <c r="E14" s="356">
        <f>D14-C14</f>
        <v>0</v>
      </c>
      <c r="F14" s="355">
        <v>423.2</v>
      </c>
      <c r="G14" s="355"/>
    </row>
    <row r="15" spans="1:7" ht="15">
      <c r="A15" s="401" t="s">
        <v>450</v>
      </c>
      <c r="B15" s="353"/>
      <c r="C15" s="353">
        <v>548</v>
      </c>
      <c r="D15" s="353"/>
      <c r="E15" s="356">
        <f>D15-C15</f>
        <v>-548</v>
      </c>
      <c r="F15" s="355"/>
      <c r="G15" s="355"/>
    </row>
    <row r="18" spans="1:7" ht="15">
      <c r="A18" s="109" t="s">
        <v>247</v>
      </c>
      <c r="B18" s="109"/>
      <c r="C18" s="108" t="s">
        <v>309</v>
      </c>
      <c r="D18" s="214"/>
      <c r="E18" s="378" t="s">
        <v>400</v>
      </c>
      <c r="G18" s="91"/>
    </row>
    <row r="19" spans="1:7" ht="15">
      <c r="A19" s="109"/>
      <c r="B19" s="215"/>
      <c r="C19" s="108" t="s">
        <v>245</v>
      </c>
      <c r="D19" s="214"/>
      <c r="E19" s="108" t="s">
        <v>246</v>
      </c>
      <c r="G19" s="91"/>
    </row>
  </sheetData>
  <sheetProtection/>
  <mergeCells count="11">
    <mergeCell ref="G6:G8"/>
    <mergeCell ref="C7:C8"/>
    <mergeCell ref="F1:G1"/>
    <mergeCell ref="D7:D8"/>
    <mergeCell ref="A3:G3"/>
    <mergeCell ref="A4:D4"/>
    <mergeCell ref="A6:A8"/>
    <mergeCell ref="B6:B8"/>
    <mergeCell ref="C6:D6"/>
    <mergeCell ref="E6:E8"/>
    <mergeCell ref="F6:F8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ГКТ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Шакирова</dc:creator>
  <cp:keywords/>
  <dc:description/>
  <cp:lastModifiedBy>Admin</cp:lastModifiedBy>
  <cp:lastPrinted>2017-04-21T06:30:07Z</cp:lastPrinted>
  <dcterms:created xsi:type="dcterms:W3CDTF">2007-01-18T06:48:30Z</dcterms:created>
  <dcterms:modified xsi:type="dcterms:W3CDTF">2017-04-21T06:32:53Z</dcterms:modified>
  <cp:category/>
  <cp:version/>
  <cp:contentType/>
  <cp:contentStatus/>
</cp:coreProperties>
</file>